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<sst xmlns="http://schemas.openxmlformats.org/spreadsheetml/2006/main" count="330" uniqueCount="227">
  <si>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</si>
  <si>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</si>
  <si>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</si>
  <si>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</si>
  <si>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</si>
  <si>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</si>
  <si>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</si>
  <si>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</si>
  <si>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</si>
  <si>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</si>
  <si>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</si>
  <si>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</si>
  <si>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</si>
  <si>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</si>
  <si>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</si>
  <si>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</si>
  <si>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</si>
  <si>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</si>
  <si>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</si>
  <si>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</si>
  <si>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</si>
  <si>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</si>
  <si>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</si>
  <si>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</si>
  <si>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</si>
  <si>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</si>
  <si>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</si>
  <si>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</si>
  <si>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</si>
  <si>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</si>
  <si>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</si>
  <si>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</si>
  <si>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</si>
  <si>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</si>
  <si>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</si>
  <si>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</si>
  <si>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</si>
  <si>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</si>
  <si>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</si>
  <si>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</si>
  <si>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</si>
  <si>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</si>
  <si>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</si>
  <si>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</si>
  <si>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</si>
  <si>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</si>
  <si>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</si>
  <si>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</si>
  <si>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</si>
  <si>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</si>
  <si>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</si>
  <si>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</si>
  <si>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</si>
  <si>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</si>
  <si>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</si>
  <si>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</si>
  <si>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</si>
  <si>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</si>
  <si>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</si>
  <si>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</si>
  <si>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</si>
  <si>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</si>
  <si>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</si>
  <si>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</si>
  <si>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</si>
  <si>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</si>
  <si>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</si>
  <si>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</si>
  <si>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</si>
  <si>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</si>
  <si>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</si>
  <si>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</si>
  <si>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</si>
  <si>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</si>
  <si>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</si>
  <si>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</si>
  <si>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</si>
  <si>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</si>
  <si>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</si>
  <si>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</si>
  <si>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</si>
  <si>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</si>
  <si>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</si>
  <si>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</si>
  <si>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</si>
  <si>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</si>
  <si>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</si>
  <si>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</si>
  <si>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</si>
  <si>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</si>
  <si>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</si>
  <si>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</si>
  <si>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</si>
  <si>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</si>
  <si>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</si>
  <si>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</si>
  <si>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</si>
  <si>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</si>
  <si>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</si>
  <si>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</si>
  <si>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</si>
  <si>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</si>
  <si>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</si>
  <si>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</si>
  <si>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</si>
  <si>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</si>
  <si>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</si>
  <si>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</si>
  <si>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</si>
  <si>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</si>
  <si>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</si>
  <si>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</si>
  <si>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</si>
  <si>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</si>
  <si>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</si>
  <si>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</si>
  <si>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</si>
  <si>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</si>
  <si>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</si>
  <si>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</si>
  <si>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</si>
  <si>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</si>
  <si>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</si>
  <si>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</si>
  <si>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</si>
  <si>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</si>
  <si>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</si>
  <si>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</si>
  <si>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</si>
  <si>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</si>
  <si>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</si>
  <si>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</si>
  <si>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</si>
  <si>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</si>
  <si>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</si>
  <si>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</si>
  <si>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</si>
  <si>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</si>
  <si>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</si>
  <si>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</si>
  <si>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</si>
  <si>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</si>
  <si>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</si>
  <si>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</si>
  <si>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</si>
  <si>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</si>
  <si>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</si>
  <si>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</si>
  <si>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</si>
  <si>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</si>
  <si>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</si>
  <si>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</si>
  <si>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</si>
  <si>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</si>
  <si>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</si>
  <si>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</si>
  <si>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</si>
  <si>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</si>
  <si>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</si>
  <si>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</si>
  <si>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</si>
  <si>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</si>
  <si>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</si>
  <si>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</si>
  <si>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</si>
  <si>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</si>
  <si>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</si>
  <si>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</si>
  <si>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</si>
  <si>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</si>
  <si>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</si>
  <si>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</si>
  <si>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</si>
  <si>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</si>
  <si>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</si>
  <si>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</si>
  <si>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</si>
  <si>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</si>
  <si>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</si>
  <si>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</si>
  <si>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</si>
  <si>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</si>
  <si>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</si>
  <si>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</si>
  <si>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</si>
  <si>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</si>
  <si>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</si>
  <si>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</si>
  <si>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</si>
  <si>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</si>
  <si>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</si>
  <si>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</si>
  <si>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</si>
  <si>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</si>
  <si>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</si>
  <si>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</si>
  <si>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</si>
  <si>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</si>
  <si>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</si>
  <si>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</si>
  <si>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</si>
  <si>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</si>
  <si>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</si>
  <si>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</si>
  <si>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</si>
  <si>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</si>
  <si>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</si>
  <si>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</si>
  <si>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</si>
  <si>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</si>
  <si>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</si>
  <si>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</si>
  <si>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</si>
  <si>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</si>
  <si>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</si>
  <si>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</si>
  <si>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</si>
  <si>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</si>
  <si>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"Wl20feb2016"</t>
  </si>
  <si>
    <t>Ron Lampi</t>
  </si>
  <si>
    <t>Rich Baygo</t>
  </si>
  <si>
    <t>Brian Johnson</t>
  </si>
  <si>
    <t>Jon Edison</t>
  </si>
  <si>
    <t>Mark Redsell</t>
  </si>
  <si>
    <t>Bob Dickenson</t>
  </si>
  <si>
    <t>Steve Hayley</t>
  </si>
  <si>
    <t>Mark Treble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</si>
</sst>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right"/>
    </xf>
    <xf numFmtId="2" fontId="4" fillId="7" borderId="0" xfId="0" applyNumberFormat="1" applyFont="1" applyFill="1" applyBorder="1" applyAlignment="1" applyProtection="1">
      <alignment/>
      <protection hidden="1"/>
    </xf>
    <xf numFmtId="2" fontId="3" fillId="7" borderId="22" xfId="0" applyNumberFormat="1" applyFont="1" applyFill="1" applyBorder="1" applyAlignment="1" applyProtection="1">
      <alignment/>
      <protection hidden="1"/>
    </xf>
    <xf numFmtId="0" fontId="3" fillId="7" borderId="22" xfId="0" applyFont="1" applyFill="1" applyBorder="1" applyAlignment="1" applyProtection="1">
      <alignment/>
      <protection hidden="1"/>
    </xf>
    <xf numFmtId="0" fontId="0" fillId="7" borderId="22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2" fontId="3" fillId="7" borderId="17" xfId="61" applyFont="1" applyFill="1" applyBorder="1" applyAlignment="1">
      <alignment wrapText="1"/>
      <protection hidden="1"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0" fontId="4" fillId="7" borderId="13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20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4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:IV103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4+99-COUNTIF(B5:B30,"")</f>
        <v>85</v>
      </c>
      <c r="C1" s="44"/>
      <c r="D1" s="45">
        <f ca="1">MIN(INDIRECT(EQ1,TRUE))</f>
        <v>33.73</v>
      </c>
      <c r="F1" s="46">
        <f>IF($C$2&lt;4,"",IF(AND($C$2&gt;=4,$C$2&lt;15),1,2))</f>
        <v>2</v>
      </c>
      <c r="G1">
        <f>MIN(G5:G30)</f>
        <v>38.06</v>
      </c>
      <c r="J1" s="46" t="str">
        <f>ADDRESS(B1,COLUMN()+1,4,1)</f>
        <v>K85</v>
      </c>
      <c r="M1" s="46" t="str">
        <f>ADDRESS(B1,COLUMN()-1,4,1)</f>
        <v>L85</v>
      </c>
      <c r="N1" s="49">
        <f>MIN(N5:N30)</f>
        <v>34.37</v>
      </c>
      <c r="Q1" s="46" t="str">
        <f>ADDRESS(B1,COLUMN()+1,4,1)</f>
        <v>R85</v>
      </c>
      <c r="T1" s="46" t="str">
        <f>ADDRESS(B1,COLUMN()-1,4,1)</f>
        <v>S85</v>
      </c>
      <c r="U1" s="49">
        <f>MIN(U5:U30)</f>
        <v>35.65</v>
      </c>
      <c r="X1" s="46" t="str">
        <f>ADDRESS(B1,COLUMN()+1,4,1)</f>
        <v>Y85</v>
      </c>
      <c r="Z1" s="50"/>
      <c r="AA1" s="46" t="str">
        <f>ADDRESS(B1,COLUMN()-1,4,1)</f>
        <v>Z85</v>
      </c>
      <c r="AB1" s="49">
        <f>MIN(AB5:AB30)</f>
        <v>34.68</v>
      </c>
      <c r="AD1" s="48"/>
      <c r="AE1" s="46" t="str">
        <f>ADDRESS(B1,COLUMN()+1,4,1)</f>
        <v>AF85</v>
      </c>
      <c r="AG1" s="50"/>
      <c r="AH1" s="46" t="str">
        <f>ADDRESS(B1,COLUMN()-1,4,1)</f>
        <v>AG85</v>
      </c>
      <c r="AI1" s="49">
        <f>MIN(AI5:AI30)</f>
        <v>39.65</v>
      </c>
      <c r="AK1" s="48"/>
      <c r="AL1" s="46" t="str">
        <f>ADDRESS(B1,COLUMN()+1,4,1)</f>
        <v>AM85</v>
      </c>
      <c r="AN1" s="50"/>
      <c r="AO1" s="46" t="str">
        <f>ADDRESS(B1,COLUMN()-1,4,1)</f>
        <v>AN85</v>
      </c>
      <c r="AP1" s="49">
        <f>MIN(AP5:AP30)</f>
        <v>35.95</v>
      </c>
      <c r="AR1" s="48"/>
      <c r="AS1" s="46" t="str">
        <f>ADDRESS(B1,COLUMN()+1,4,1)</f>
        <v>AT85</v>
      </c>
      <c r="AU1" s="50"/>
      <c r="AV1" s="46" t="str">
        <f>ADDRESS(B1,COLUMN()-1,4,1)</f>
        <v>AU85</v>
      </c>
      <c r="AW1" s="49">
        <f>MIN(AW5:AW30)</f>
        <v>44.21</v>
      </c>
      <c r="AY1" s="48"/>
      <c r="AZ1" s="46" t="str">
        <f>ADDRESS(B1,COLUMN()+1,4,1)</f>
        <v>BA85</v>
      </c>
      <c r="BB1" s="50"/>
      <c r="BC1" s="46" t="str">
        <f>ADDRESS(B1,COLUMN()-1,4,1)</f>
        <v>BB85</v>
      </c>
      <c r="BD1" s="49">
        <f>MIN(BD5:BD30)</f>
        <v>38.45</v>
      </c>
      <c r="BF1" s="48"/>
      <c r="BG1" s="46" t="str">
        <f>ADDRESS(B1,COLUMN()+1,4,1)</f>
        <v>BH85</v>
      </c>
      <c r="BI1" s="50"/>
      <c r="BJ1" s="46" t="str">
        <f>ADDRESS(B1,COLUMN()-1,4,1)</f>
        <v>BI85</v>
      </c>
      <c r="BK1" s="49">
        <f>MIN(BK5:BK30)</f>
        <v>36.84</v>
      </c>
      <c r="BM1" s="48"/>
      <c r="BN1" s="46" t="str">
        <f>ADDRESS(B1,COLUMN()+1,4,1)</f>
        <v>BO85</v>
      </c>
      <c r="BP1" s="50"/>
      <c r="BQ1" s="46" t="str">
        <f>ADDRESS(B1,COLUMN()-1,4,1)</f>
        <v>BP85</v>
      </c>
      <c r="BR1" s="49">
        <f>MIN(BR5:BR30)</f>
        <v>35.58</v>
      </c>
      <c r="BT1" s="48"/>
      <c r="BU1" s="46" t="str">
        <f>ADDRESS(B1,COLUMN()+1,4,1)</f>
        <v>BV85</v>
      </c>
      <c r="BW1" s="50"/>
      <c r="BX1" s="46" t="str">
        <f>ADDRESS(B1,COLUMN()-1,4,1)</f>
        <v>BW85</v>
      </c>
      <c r="BY1" s="49">
        <f>MIN(BY5:BY30)</f>
        <v>33.73</v>
      </c>
      <c r="CA1" s="48"/>
      <c r="CB1" s="46" t="str">
        <f>ADDRESS(B1,COLUMN()+1,4,1)</f>
        <v>CC85</v>
      </c>
      <c r="CD1" s="50"/>
      <c r="CE1" s="46" t="str">
        <f>ADDRESS(B1,COLUMN()-1,4,1)</f>
        <v>CD85</v>
      </c>
      <c r="CF1" s="49">
        <f>MIN(CF5:CF30)</f>
        <v>49.19</v>
      </c>
      <c r="CH1" s="48"/>
      <c r="CI1" s="46" t="str">
        <f>ADDRESS(B1,COLUMN()+1,4,1)</f>
        <v>CJ85</v>
      </c>
      <c r="CK1" s="50"/>
      <c r="CL1" s="46" t="str">
        <f>ADDRESS(B1,COLUMN()-1,4,1)</f>
        <v>CK85</v>
      </c>
      <c r="CM1" s="49">
        <f>MIN(CM5:CM30)</f>
        <v>45.44</v>
      </c>
      <c r="CO1" s="48"/>
      <c r="CP1" s="46" t="str">
        <f>ADDRESS(B1,COLUMN()+1,4,1)</f>
        <v>CQ85</v>
      </c>
      <c r="CR1" s="50"/>
      <c r="CS1" s="46" t="str">
        <f>ADDRESS(B1,COLUMN()-1,4,1)</f>
        <v>CR85</v>
      </c>
      <c r="CT1" s="49">
        <f>MIN(CT5:CT30)</f>
        <v>43.79</v>
      </c>
      <c r="CV1" s="48"/>
      <c r="CW1" s="46" t="str">
        <f>ADDRESS(B1,COLUMN()+1,4,1)</f>
        <v>CX85</v>
      </c>
      <c r="CY1" s="50"/>
      <c r="CZ1" s="46" t="str">
        <f>ADDRESS(B1,COLUMN()-1,4,1)</f>
        <v>CY85</v>
      </c>
      <c r="DA1" s="49">
        <f>MIN(DA5:DA30)</f>
        <v>41.82</v>
      </c>
      <c r="DC1" s="48"/>
      <c r="DD1" s="46" t="str">
        <f>ADDRESS(B1,COLUMN()+1,4,1)</f>
        <v>DE85</v>
      </c>
      <c r="DF1" s="50"/>
      <c r="DG1" s="46" t="str">
        <f>ADDRESS(B1,COLUMN()-1,4,1)</f>
        <v>DF85</v>
      </c>
      <c r="DH1" s="49">
        <f>MIN(DH5:DH30)</f>
        <v>0</v>
      </c>
      <c r="DJ1" s="48"/>
      <c r="DK1" s="46" t="str">
        <f>ADDRESS(B1,COLUMN()+1,4,1)</f>
        <v>DL85</v>
      </c>
      <c r="DM1" s="50"/>
      <c r="DN1" s="46" t="str">
        <f>ADDRESS(B1,COLUMN()-1,4,1)</f>
        <v>DM85</v>
      </c>
      <c r="DO1" s="49">
        <f>MIN(DO5:DO30)</f>
        <v>0</v>
      </c>
      <c r="DQ1" s="48"/>
      <c r="DR1" s="46" t="str">
        <f>ADDRESS(B1,COLUMN()+1,4,1)</f>
        <v>DS85</v>
      </c>
      <c r="DT1" s="50"/>
      <c r="DU1" s="46" t="str">
        <f>ADDRESS(B1,COLUMN()-1,4,1)</f>
        <v>DT85</v>
      </c>
      <c r="DV1" s="49">
        <f>MIN(DV5:DV30)</f>
        <v>0</v>
      </c>
      <c r="DX1" s="48"/>
      <c r="DY1" s="46" t="str">
        <f>ADDRESS(B1,COLUMN()+1,4,1)</f>
        <v>DZ85</v>
      </c>
      <c r="EA1" s="50"/>
      <c r="EB1" s="46" t="str">
        <f>ADDRESS(B1,COLUMN()-1,4,1)</f>
        <v>EA85</v>
      </c>
      <c r="EC1" s="49">
        <f>MIN(EC5:EC30)</f>
        <v>0</v>
      </c>
      <c r="EE1" s="48"/>
      <c r="EF1" s="46" t="str">
        <f>ADDRESS(B1,COLUMN()+1,4,1)</f>
        <v>EG85</v>
      </c>
      <c r="EH1" s="50"/>
      <c r="EI1" s="46" t="str">
        <f>ADDRESS(B1,COLUMN()-1,4,1)</f>
        <v>EH85</v>
      </c>
      <c r="EJ1" s="49">
        <f>MIN(EJ5:EJ30)</f>
        <v>0</v>
      </c>
      <c r="EL1" s="48"/>
      <c r="EM1" s="46" t="str">
        <f>ADDRESS(B1,COLUMN()+1,4,1)</f>
        <v>EN85</v>
      </c>
      <c r="EO1" s="50"/>
      <c r="EP1" s="46" t="str">
        <f>ADDRESS(B1,COLUMN()-1,4,1)</f>
        <v>EO85</v>
      </c>
      <c r="EQ1" s="51" t="str">
        <f>ADDRESS(ROW(),COLUMN()+1,1,TRUE)&amp;":"&amp;ADDRESS(ROW(),COLUMN()+$C$2,1,TRUE)</f>
        <v>$ER$1:$FF$1</v>
      </c>
      <c r="ER1" s="50">
        <f>G1</f>
        <v>38.06</v>
      </c>
      <c r="ES1" s="50">
        <f>N1</f>
        <v>34.37</v>
      </c>
      <c r="ET1" s="50">
        <f>U1</f>
        <v>35.65</v>
      </c>
      <c r="EU1" s="50">
        <f>AB1</f>
        <v>34.68</v>
      </c>
      <c r="EV1" s="50">
        <f>AI1</f>
        <v>39.65</v>
      </c>
      <c r="EW1" s="50">
        <f>AP1</f>
        <v>35.95</v>
      </c>
      <c r="EX1" s="50">
        <f>AW1</f>
        <v>44.21</v>
      </c>
      <c r="EY1" s="50">
        <f>BD1</f>
        <v>38.45</v>
      </c>
      <c r="EZ1" s="50">
        <f>BK1</f>
        <v>36.84</v>
      </c>
      <c r="FA1" s="50">
        <f>BR1</f>
        <v>35.58</v>
      </c>
      <c r="FB1" s="50">
        <f>BY1</f>
        <v>33.73</v>
      </c>
      <c r="FC1" s="50">
        <f>CF1</f>
        <v>49.19</v>
      </c>
      <c r="FD1" s="50">
        <f>CM1</f>
        <v>45.44</v>
      </c>
      <c r="FE1" s="50">
        <f>CT1</f>
        <v>43.79</v>
      </c>
      <c r="FF1" s="50">
        <f>DA1</f>
        <v>41.82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$GV$1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HB85</v>
      </c>
    </row>
    <row r="2" spans="2:211" s="54" customFormat="1" ht="12.75">
      <c r="B2" s="54" t="s">
        <v>69</v>
      </c>
      <c r="C2" s="54">
        <f>NumberOfRoundsFlown(Rawdata)</f>
        <v>15</v>
      </c>
      <c r="G2" s="132" t="str">
        <f>"Round 1 "&amp;IF(GH1&gt;0,"("&amp;GH1&amp;IF(GH1&gt;1," Discards"," Discard")&amp;" Active)","")</f>
        <v>Round 1 </v>
      </c>
      <c r="H2" s="133"/>
      <c r="I2" s="133"/>
      <c r="J2" s="133"/>
      <c r="K2" s="133"/>
      <c r="L2" s="133"/>
      <c r="M2" s="133"/>
      <c r="N2" s="132" t="str">
        <f>"Round 2 "&amp;IF(GI1&gt;0,"("&amp;GI1&amp;IF(GI1&gt;1," Discards"," Discard")&amp;" Active)","")</f>
        <v>Round 2 </v>
      </c>
      <c r="O2" s="133"/>
      <c r="P2" s="133"/>
      <c r="Q2" s="133"/>
      <c r="R2" s="133"/>
      <c r="S2" s="133"/>
      <c r="T2" s="133"/>
      <c r="U2" s="126" t="str">
        <f>"Round 3 "&amp;IF(GJ1&gt;0,"("&amp;GJ1&amp;IF(GJ1&gt;1," Discards"," Discard")&amp;" Active)","")</f>
        <v>Round 3 </v>
      </c>
      <c r="V2" s="130"/>
      <c r="W2" s="130"/>
      <c r="X2" s="130"/>
      <c r="Y2" s="130"/>
      <c r="Z2" s="130"/>
      <c r="AA2" s="130"/>
      <c r="AB2" s="126" t="str">
        <f>"Round 4 "&amp;IF(GK1&gt;0,"("&amp;GK1&amp;IF(GK1&gt;1," Discards"," Discard")&amp;" Active)","")</f>
        <v>Round 4 (1 Discard Active)</v>
      </c>
      <c r="AC2" s="130"/>
      <c r="AD2" s="130"/>
      <c r="AE2" s="130"/>
      <c r="AF2" s="130"/>
      <c r="AG2" s="130"/>
      <c r="AH2" s="130"/>
      <c r="AI2" s="126" t="str">
        <f>"Round 5 "&amp;IF(GL1&gt;0,"("&amp;GL1&amp;IF(GL1&gt;1," Discards"," Discard")&amp;" Active)","")</f>
        <v>Round 5 (1 Discard Active)</v>
      </c>
      <c r="AJ2" s="130"/>
      <c r="AK2" s="130"/>
      <c r="AL2" s="130"/>
      <c r="AM2" s="130"/>
      <c r="AN2" s="130"/>
      <c r="AO2" s="130"/>
      <c r="AP2" s="126" t="str">
        <f>"Round 6 "&amp;IF(GM1&gt;0,"("&amp;GM1&amp;IF(GM1&gt;1," Discards"," Discard")&amp;" Active)","")</f>
        <v>Round 6 (1 Discard Active)</v>
      </c>
      <c r="AQ2" s="130"/>
      <c r="AR2" s="130"/>
      <c r="AS2" s="130"/>
      <c r="AT2" s="130"/>
      <c r="AU2" s="130"/>
      <c r="AV2" s="130"/>
      <c r="AW2" s="126" t="str">
        <f>"Round 7 "&amp;IF(GN1&gt;0,"("&amp;GN1&amp;IF(GN1&gt;1," Discards"," Discard")&amp;" Active)","")</f>
        <v>Round 7 (1 Discard Active)</v>
      </c>
      <c r="AX2" s="130"/>
      <c r="AY2" s="130"/>
      <c r="AZ2" s="130"/>
      <c r="BA2" s="130"/>
      <c r="BB2" s="130"/>
      <c r="BC2" s="130"/>
      <c r="BD2" s="126" t="str">
        <f>"Round 8 "&amp;IF(GO1&gt;0,"("&amp;GO1&amp;IF(GQ1&gt;1," Discards"," Discard")&amp;" Active)","")</f>
        <v>Round 8 (1 Discard Active)</v>
      </c>
      <c r="BE2" s="130"/>
      <c r="BF2" s="130"/>
      <c r="BG2" s="130"/>
      <c r="BH2" s="130"/>
      <c r="BI2" s="130"/>
      <c r="BJ2" s="130"/>
      <c r="BK2" s="126" t="str">
        <f>"Round 9 "&amp;IF(GP1&gt;0,"("&amp;GP1&amp;IF(GP1&gt;1," Discards"," Discard")&amp;" Active)","")</f>
        <v>Round 9 (1 Discard Active)</v>
      </c>
      <c r="BL2" s="130"/>
      <c r="BM2" s="130"/>
      <c r="BN2" s="130"/>
      <c r="BO2" s="130"/>
      <c r="BP2" s="130"/>
      <c r="BQ2" s="130"/>
      <c r="BR2" s="126" t="str">
        <f>"Round 10 "&amp;IF(GQ1&gt;0,"("&amp;GQ1&amp;IF(GQ1&gt;1," Discards"," Discard")&amp;" Active)","")</f>
        <v>Round 10 (1 Discard Active)</v>
      </c>
      <c r="BS2" s="130"/>
      <c r="BT2" s="130"/>
      <c r="BU2" s="130"/>
      <c r="BV2" s="130"/>
      <c r="BW2" s="130"/>
      <c r="BX2" s="130"/>
      <c r="BY2" s="126" t="str">
        <f>"Round 11 "&amp;IF(GR1&gt;0,"("&amp;GR1&amp;IF(GR1&gt;1," Discards"," Discard")&amp;" Active)","")</f>
        <v>Round 11 (1 Discard Active)</v>
      </c>
      <c r="BZ2" s="130"/>
      <c r="CA2" s="130"/>
      <c r="CB2" s="130"/>
      <c r="CC2" s="130"/>
      <c r="CD2" s="130"/>
      <c r="CE2" s="130"/>
      <c r="CF2" s="126" t="str">
        <f>"Round 12 "&amp;IF(GS1&gt;0,"("&amp;GS1&amp;IF(GS1&gt;1," Discards"," Discard")&amp;" Active)","")</f>
        <v>Round 12 (1 Discard Active)</v>
      </c>
      <c r="CG2" s="130"/>
      <c r="CH2" s="130"/>
      <c r="CI2" s="130"/>
      <c r="CJ2" s="130"/>
      <c r="CK2" s="130"/>
      <c r="CL2" s="130"/>
      <c r="CM2" s="126" t="str">
        <f>"Round 13 "&amp;IF(GT1&gt;0,"("&amp;GT1&amp;IF(GT1&gt;1," Discards"," Discard")&amp;" Active)","")</f>
        <v>Round 13 (1 Discard Active)</v>
      </c>
      <c r="CN2" s="130"/>
      <c r="CO2" s="130"/>
      <c r="CP2" s="130"/>
      <c r="CQ2" s="130"/>
      <c r="CR2" s="130"/>
      <c r="CS2" s="130"/>
      <c r="CT2" s="126" t="str">
        <f>"Round 14 "&amp;IF(GU1&gt;0,"("&amp;GU1&amp;IF(GU1&gt;1," Discards"," Discard")&amp;" Active)","")</f>
        <v>Round 14 (1 Discard Active)</v>
      </c>
      <c r="CU2" s="130"/>
      <c r="CV2" s="130"/>
      <c r="CW2" s="130"/>
      <c r="CX2" s="130"/>
      <c r="CY2" s="130"/>
      <c r="CZ2" s="130"/>
      <c r="DA2" s="126" t="str">
        <f>"Round 15 "&amp;IF(GV1&gt;0,"("&amp;GV1&amp;IF(GV1&gt;1," Discards"," Discard")&amp;" Active)","")</f>
        <v>Round 15 (2 Discards Active)</v>
      </c>
      <c r="DB2" s="130"/>
      <c r="DC2" s="130"/>
      <c r="DD2" s="130"/>
      <c r="DE2" s="130"/>
      <c r="DF2" s="130"/>
      <c r="DG2" s="130"/>
      <c r="DH2" s="126" t="str">
        <f>"Round 16 "&amp;IF(GW1&gt;0,"("&amp;GW1&amp;IF(GW1&gt;1," Discards"," Discard")&amp;" Active)","")</f>
        <v>Round 16 (2 Discards Active)</v>
      </c>
      <c r="DI2" s="130"/>
      <c r="DJ2" s="130"/>
      <c r="DK2" s="130"/>
      <c r="DL2" s="130"/>
      <c r="DM2" s="130"/>
      <c r="DN2" s="130"/>
      <c r="DO2" s="126" t="str">
        <f>"Round 17 "&amp;IF(GX1&gt;0,"("&amp;GX1&amp;IF(GX1&gt;1," Discards"," Discard")&amp;" Active)","")</f>
        <v>Round 17 (2 Discards Active)</v>
      </c>
      <c r="DP2" s="130"/>
      <c r="DQ2" s="130"/>
      <c r="DR2" s="130"/>
      <c r="DS2" s="130"/>
      <c r="DT2" s="130"/>
      <c r="DU2" s="130"/>
      <c r="DV2" s="126" t="str">
        <f>"Round 18 "&amp;IF(GY1&gt;0,"("&amp;GY1&amp;IF(GY1&gt;1," Discards"," Discard")&amp;" Active)","")</f>
        <v>Round 18 (2 Discards Active)</v>
      </c>
      <c r="DW2" s="130"/>
      <c r="DX2" s="130"/>
      <c r="DY2" s="130"/>
      <c r="DZ2" s="130"/>
      <c r="EA2" s="130"/>
      <c r="EB2" s="130"/>
      <c r="EC2" s="126" t="str">
        <f>"Round 19 "&amp;IF(GZ1&gt;0,"("&amp;GZ1&amp;IF(GZ1&gt;1," Discards"," Discard")&amp;" Active)","")</f>
        <v>Round 19 (2 Discards Active)</v>
      </c>
      <c r="ED2" s="126"/>
      <c r="EE2" s="126"/>
      <c r="EF2" s="126"/>
      <c r="EG2" s="126"/>
      <c r="EH2" s="126"/>
      <c r="EI2" s="126"/>
      <c r="EJ2" s="126" t="str">
        <f>"Round 20 "&amp;IF(HA1&gt;0,"("&amp;HA1&amp;IF(HA1&gt;1," Discards"," Discard")&amp;" Active)","")</f>
        <v>Round 20 (2 Discards Active)</v>
      </c>
      <c r="EK2" s="130"/>
      <c r="EL2" s="130"/>
      <c r="EM2" s="130"/>
      <c r="EN2" s="130"/>
      <c r="EO2" s="130"/>
      <c r="EP2" s="130"/>
      <c r="EQ2" s="55"/>
      <c r="ER2" s="54" t="str">
        <f ca="1">INDIRECT("R"&amp;4+MATCH(G1,G5:G30,0)&amp;"C2",FALSE)</f>
        <v>Mark Treble</v>
      </c>
      <c r="ES2" s="54" t="str">
        <f ca="1">INDIRECT("R"&amp;4+MATCH(N1,N5:N30,0)&amp;"C2",FALSE)</f>
        <v>Mark Redsell</v>
      </c>
      <c r="ET2" s="54" t="str">
        <f ca="1">INDIRECT("R"&amp;4+MATCH(U1,U5:U30,0)&amp;"C2",FALSE)</f>
        <v>Mark Redsell</v>
      </c>
      <c r="EU2" s="54" t="str">
        <f ca="1">INDIRECT("R"&amp;4+MATCH(AB1,AB5:AB30,0)&amp;"C2",FALSE)</f>
        <v>Mark Redsell</v>
      </c>
      <c r="EV2" s="54" t="str">
        <f ca="1">INDIRECT("R"&amp;4+MATCH(AI1,AI5:AI30,0)&amp;"C2",FALSE)</f>
        <v>Ron Lampi</v>
      </c>
      <c r="EW2" s="54" t="str">
        <f ca="1">INDIRECT("R"&amp;4+MATCH(AP1,AP5:AP30,0)&amp;"C2",FALSE)</f>
        <v>Mark Treble</v>
      </c>
      <c r="EX2" s="54" t="str">
        <f ca="1">INDIRECT("R"&amp;4+MATCH(AW1,AW5:AW30,0)&amp;"C2",FALSE)</f>
        <v>Steve Hayley</v>
      </c>
      <c r="EY2" s="54" t="str">
        <f ca="1">INDIRECT("R"&amp;4+MATCH(BD1,BD5:BD30,0)&amp;"C2",FALSE)</f>
        <v>Mark Redsell</v>
      </c>
      <c r="EZ2" s="54" t="str">
        <f ca="1">INDIRECT("R"&amp;4+MATCH(BK1,BK5:BK30,0)&amp;"C2",FALSE)</f>
        <v>Mark Redsell</v>
      </c>
      <c r="FA2" s="54" t="str">
        <f ca="1">INDIRECT("R"&amp;4+MATCH(BR1,BR5:BR30,0)&amp;"C2",FALSE)</f>
        <v>Mark Redsell</v>
      </c>
      <c r="FB2" s="54" t="str">
        <f ca="1">INDIRECT("R"&amp;4+MATCH(BY1,BY5:BY30,0)&amp;"C2",FALSE)</f>
        <v>Rich Baygo</v>
      </c>
      <c r="FC2" s="54" t="str">
        <f ca="1">INDIRECT("R"&amp;4+MATCH(CF1,CF5:CF30,0)&amp;"C2",FALSE)</f>
        <v>Mark Redsell</v>
      </c>
      <c r="FD2" s="54" t="str">
        <f ca="1">INDIRECT("R"&amp;4+MATCH(CM1,CM5:CM30,0)&amp;"C2",FALSE)</f>
        <v>Steve Hayley</v>
      </c>
      <c r="FE2" s="54" t="str">
        <f ca="1">INDIRECT("R"&amp;4+MATCH(CT1,CT5:CT30,0)&amp;"C2",FALSE)</f>
        <v>Mark Redsell</v>
      </c>
      <c r="FF2" s="54" t="str">
        <f ca="1">INDIRECT("R"&amp;4+MATCH(DA1,DA5:DA30,0)&amp;"C2",FALSE)</f>
        <v>Mark Treble</v>
      </c>
      <c r="FG2" s="54" t="e">
        <f ca="1">INDIRECT("R"&amp;4+MATCH(DH1,DH5:DH30,0)&amp;"C2",FALSE)</f>
        <v>#N/A</v>
      </c>
      <c r="FH2" s="54" t="e">
        <f ca="1">INDIRECT("R"&amp;4+MATCH(DO1,DO5:DO30,0)&amp;"C2",FALSE)</f>
        <v>#N/A</v>
      </c>
      <c r="FI2" s="54" t="e">
        <f ca="1">INDIRECT("R"&amp;4+MATCH(DV1,DV5:DV30,0)&amp;"C2",FALSE)</f>
        <v>#N/A</v>
      </c>
      <c r="FJ2" s="54" t="e">
        <f ca="1">INDIRECT("R"&amp;4+MATCH(EC1,EC5:EC30,0)&amp;"C2",FALSE)</f>
        <v>#N/A</v>
      </c>
      <c r="FK2" s="54" t="e">
        <f ca="1">INDIRECT("R"&amp;4+MATCH(EJ1,EJ5:EJ30,0)&amp;"C2",FALSE)</f>
        <v>#N/A</v>
      </c>
      <c r="HB2" s="56"/>
      <c r="HC2" s="57"/>
    </row>
    <row r="3" spans="1:211" s="55" customFormat="1" ht="12.75">
      <c r="A3" s="58"/>
      <c r="B3" s="127" t="str">
        <f ca="1">IF($C$2&gt;0,"Fastest Time of the day "&amp;FIXED(D1,Title!M1,TRUE)&amp;" by "&amp;INDIRECT("R2C"&amp;147+MATCH(D1,INDIRECT(EQ1,TRUE),0),FALSE),"")</f>
        <v>Fastest Time of the day 33.73 by Rich Baygo</v>
      </c>
      <c r="C3" s="128"/>
      <c r="D3" s="128"/>
      <c r="E3" s="128"/>
      <c r="F3" s="131"/>
      <c r="G3" s="127" t="str">
        <f ca="1">IF(G1&gt;0,"Fastest Time "&amp;FIXED(G1,Title!M1,TRUE)&amp;" by "&amp;INDIRECT("R"&amp;4+MATCH(G1,G5:G30,0)&amp;"C2",FALSE),"")</f>
        <v>Fastest Time 38.06 by Mark Treble</v>
      </c>
      <c r="H3" s="128"/>
      <c r="I3" s="128"/>
      <c r="J3" s="129"/>
      <c r="K3" s="129"/>
      <c r="L3" s="129"/>
      <c r="M3" s="129"/>
      <c r="N3" s="127" t="str">
        <f ca="1">IF(N1&gt;0,"Fastest Time "&amp;FIXED(N1,Title!M1,TRUE)&amp;" by "&amp;INDIRECT("R"&amp;4+MATCH(N1,N5:N30,0)&amp;"C2",FALSE),"")</f>
        <v>Fastest Time 34.37 by Mark Redsell</v>
      </c>
      <c r="O3" s="128"/>
      <c r="P3" s="128"/>
      <c r="Q3" s="129"/>
      <c r="R3" s="129"/>
      <c r="S3" s="129"/>
      <c r="T3" s="129"/>
      <c r="U3" s="127" t="str">
        <f ca="1">IF(U1&gt;0,"Fastest Time "&amp;FIXED(U1,Title!M1,TRUE)&amp;" by "&amp;INDIRECT("R"&amp;4+MATCH(U1,U5:U30,0)&amp;"C2",FALSE),"")</f>
        <v>Fastest Time 35.65 by Mark Redsell</v>
      </c>
      <c r="V3" s="128"/>
      <c r="W3" s="128"/>
      <c r="X3" s="129"/>
      <c r="Y3" s="129"/>
      <c r="Z3" s="129"/>
      <c r="AA3" s="129"/>
      <c r="AB3" s="127" t="str">
        <f ca="1">IF(AB1&gt;0,"Fastest Time "&amp;FIXED(AB1,Title!M1,TRUE)&amp;" by "&amp;INDIRECT("R"&amp;4+MATCH(AB1,AB5:AB30,0)&amp;"C2",FALSE),"")</f>
        <v>Fastest Time 34.68 by Mark Redsell</v>
      </c>
      <c r="AC3" s="128"/>
      <c r="AD3" s="128"/>
      <c r="AE3" s="129"/>
      <c r="AF3" s="129"/>
      <c r="AG3" s="129"/>
      <c r="AH3" s="129"/>
      <c r="AI3" s="127" t="str">
        <f ca="1">IF(AI1&gt;0,"Fastest Time "&amp;FIXED(AI1,Title!M1,TRUE)&amp;" by "&amp;INDIRECT("R"&amp;4+MATCH(AI1,AI5:AI30,0)&amp;"C2",FALSE),"")</f>
        <v>Fastest Time 39.65 by Ron Lampi</v>
      </c>
      <c r="AJ3" s="128"/>
      <c r="AK3" s="128"/>
      <c r="AL3" s="129"/>
      <c r="AM3" s="129"/>
      <c r="AN3" s="129"/>
      <c r="AO3" s="129"/>
      <c r="AP3" s="127" t="str">
        <f ca="1">IF(AP1&gt;0,"Fastest Time "&amp;FIXED(AP1,Title!M1,TRUE)&amp;" by "&amp;INDIRECT("R"&amp;4+MATCH(AP1,AP5:AP30,0)&amp;"C2",FALSE),"")</f>
        <v>Fastest Time 35.95 by Mark Treble</v>
      </c>
      <c r="AQ3" s="128"/>
      <c r="AR3" s="128"/>
      <c r="AS3" s="129"/>
      <c r="AT3" s="129"/>
      <c r="AU3" s="129"/>
      <c r="AV3" s="129"/>
      <c r="AW3" s="127" t="str">
        <f ca="1">IF(AW1&gt;0,"Fastest Time "&amp;FIXED(AW1,Title!M1,TRUE)&amp;" by "&amp;INDIRECT("R"&amp;4+MATCH(AW1,AW5:AW30,0)&amp;"C2",FALSE),"")</f>
        <v>Fastest Time 44.21 by Steve Hayley</v>
      </c>
      <c r="AX3" s="128"/>
      <c r="AY3" s="128"/>
      <c r="AZ3" s="129"/>
      <c r="BA3" s="129"/>
      <c r="BB3" s="129"/>
      <c r="BC3" s="129"/>
      <c r="BD3" s="127" t="str">
        <f ca="1">IF(BD1&gt;0,"Fastest Time "&amp;FIXED(BD1,Title!M1,TRUE)&amp;" by "&amp;INDIRECT("R"&amp;4+MATCH(BD1,BD5:BD30,0)&amp;"C2",FALSE),"")</f>
        <v>Fastest Time 38.45 by Mark Redsell</v>
      </c>
      <c r="BE3" s="128"/>
      <c r="BF3" s="128"/>
      <c r="BG3" s="129"/>
      <c r="BH3" s="129"/>
      <c r="BI3" s="129"/>
      <c r="BJ3" s="129"/>
      <c r="BK3" s="127" t="str">
        <f ca="1">IF(BK1&gt;0,"Fastest Time "&amp;FIXED(BK1,Title!M1,TRUE)&amp;" by "&amp;INDIRECT("R"&amp;4+MATCH(BK1,BK5:BK30,0)&amp;"C2",FALSE),"")</f>
        <v>Fastest Time 36.84 by Mark Redsell</v>
      </c>
      <c r="BL3" s="128"/>
      <c r="BM3" s="128"/>
      <c r="BN3" s="129"/>
      <c r="BO3" s="129"/>
      <c r="BP3" s="129"/>
      <c r="BQ3" s="129"/>
      <c r="BR3" s="127" t="str">
        <f ca="1">IF(BR1&gt;0,"Fastest Time "&amp;FIXED(BR1,Title!M1,TRUE)&amp;" by "&amp;INDIRECT("R"&amp;4+MATCH(BR1,BR5:BR30,0)&amp;"C2",FALSE),"")</f>
        <v>Fastest Time 35.58 by Mark Redsell</v>
      </c>
      <c r="BS3" s="128"/>
      <c r="BT3" s="128"/>
      <c r="BU3" s="129"/>
      <c r="BV3" s="129"/>
      <c r="BW3" s="129"/>
      <c r="BX3" s="129"/>
      <c r="BY3" s="127" t="str">
        <f ca="1">IF(BY1&gt;0,"Fastest Time "&amp;FIXED(BY1,Title!M1,TRUE)&amp;" by "&amp;INDIRECT("R"&amp;4+MATCH(BY1,BY5:BY30,0)&amp;"C2",FALSE),"")</f>
        <v>Fastest Time 33.73 by Rich Baygo</v>
      </c>
      <c r="BZ3" s="128"/>
      <c r="CA3" s="128"/>
      <c r="CB3" s="129"/>
      <c r="CC3" s="129"/>
      <c r="CD3" s="129"/>
      <c r="CE3" s="129"/>
      <c r="CF3" s="127" t="str">
        <f ca="1">IF(CF1&gt;0,"Fastest Time "&amp;FIXED(CF1,Title!M1,TRUE)&amp;" by "&amp;INDIRECT("R"&amp;4+MATCH(CF1,CF5:CF30,0)&amp;"C2",FALSE),"")</f>
        <v>Fastest Time 49.19 by Mark Redsell</v>
      </c>
      <c r="CG3" s="128"/>
      <c r="CH3" s="128"/>
      <c r="CI3" s="129"/>
      <c r="CJ3" s="129"/>
      <c r="CK3" s="129"/>
      <c r="CL3" s="129"/>
      <c r="CM3" s="127" t="str">
        <f ca="1">IF(CM1&gt;0,"Fastest Time "&amp;FIXED(CM1,Title!M1,TRUE)&amp;" by "&amp;INDIRECT("R"&amp;4+MATCH(CM1,CM5:CM30,0)&amp;"C2",FALSE),"")</f>
        <v>Fastest Time 45.44 by Steve Hayley</v>
      </c>
      <c r="CN3" s="128"/>
      <c r="CO3" s="128"/>
      <c r="CP3" s="129"/>
      <c r="CQ3" s="129"/>
      <c r="CR3" s="129"/>
      <c r="CS3" s="129"/>
      <c r="CT3" s="127" t="str">
        <f ca="1">IF(CT1&gt;0,"Fastest Time "&amp;FIXED(CT1,Title!M1,TRUE)&amp;" by "&amp;INDIRECT("R"&amp;4+MATCH(CT1,CT5:CT30,0)&amp;"C2",FALSE),"")</f>
        <v>Fastest Time 43.79 by Mark Redsell</v>
      </c>
      <c r="CU3" s="128"/>
      <c r="CV3" s="128"/>
      <c r="CW3" s="129"/>
      <c r="CX3" s="129"/>
      <c r="CY3" s="129"/>
      <c r="CZ3" s="129"/>
      <c r="DA3" s="127" t="str">
        <f ca="1">IF(DA1&gt;0,"Fastest Time "&amp;FIXED(DA1,Title!M1,TRUE)&amp;" by "&amp;INDIRECT("R"&amp;4+MATCH(DA1,DA5:DA30,0)&amp;"C2",FALSE),"")</f>
        <v>Fastest Time 41.82 by Mark Treble</v>
      </c>
      <c r="DB3" s="128"/>
      <c r="DC3" s="128"/>
      <c r="DD3" s="129"/>
      <c r="DE3" s="129"/>
      <c r="DF3" s="129"/>
      <c r="DG3" s="129"/>
      <c r="DH3" s="127">
        <f ca="1">IF(DH1&gt;0,"Fastest Time "&amp;FIXED(DH1,Title!M1,TRUE)&amp;" by "&amp;INDIRECT("R"&amp;4+MATCH(DH1,DH5:DH30,0)&amp;"C2",FALSE),"")</f>
      </c>
      <c r="DI3" s="128"/>
      <c r="DJ3" s="128"/>
      <c r="DK3" s="129"/>
      <c r="DL3" s="129"/>
      <c r="DM3" s="129"/>
      <c r="DN3" s="129"/>
      <c r="DO3" s="127">
        <f ca="1">IF(DO1&gt;0,"Fastest Time "&amp;FIXED(DO1,Title!M1,TRUE)&amp;" by "&amp;INDIRECT("R"&amp;4+MATCH(DO1,DO5:DO30,0)&amp;"C2",FALSE),"")</f>
      </c>
      <c r="DP3" s="128"/>
      <c r="DQ3" s="128"/>
      <c r="DR3" s="129"/>
      <c r="DS3" s="129"/>
      <c r="DT3" s="129"/>
      <c r="DU3" s="129"/>
      <c r="DV3" s="127">
        <f ca="1">IF(DV1&gt;0,"Fastest Time "&amp;FIXED(DV1,Title!M1,TRUE)&amp;" by "&amp;INDIRECT("R"&amp;4+MATCH(DV1,DV5:DV30,0)&amp;"C2",FALSE),"")</f>
      </c>
      <c r="DW3" s="128"/>
      <c r="DX3" s="128"/>
      <c r="DY3" s="129"/>
      <c r="DZ3" s="129"/>
      <c r="EA3" s="129"/>
      <c r="EB3" s="129"/>
      <c r="EC3" s="127">
        <f ca="1">IF(EC1&gt;0,"Fastest Time "&amp;FIXED(EC1,Title!M1,TRUE)&amp;" by "&amp;INDIRECT("R"&amp;4+MATCH(EC1,EC5:EC30,0)&amp;"C2",FALSE),"")</f>
      </c>
      <c r="ED3" s="128"/>
      <c r="EE3" s="128"/>
      <c r="EF3" s="129"/>
      <c r="EG3" s="129"/>
      <c r="EH3" s="129"/>
      <c r="EI3" s="129"/>
      <c r="EJ3" s="127">
        <f ca="1">IF(EJ1&gt;0,"Fastest Time "&amp;FIXED(EJ1,Title!M1,TRUE)&amp;" by "&amp;INDIRECT("R"&amp;4+MATCH(EJ1,EJ5:EJ30,0)&amp;"C2",FALSE),"")</f>
      </c>
      <c r="EK3" s="128"/>
      <c r="EL3" s="128"/>
      <c r="EM3" s="129"/>
      <c r="EN3" s="129"/>
      <c r="EO3" s="129"/>
      <c r="EP3" s="129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Ron Lampi</v>
      </c>
      <c r="C5" s="51">
        <f>IF('Raw Data'!C3&lt;&gt;"",'Raw Data'!C3,"")</f>
        <v>0</v>
      </c>
      <c r="D5" s="42">
        <f>HB5</f>
        <v>10350.26</v>
      </c>
      <c r="E5" s="69">
        <f>IF($C$2&gt;0,HC5,"")</f>
        <v>5</v>
      </c>
      <c r="F5" s="99" t="str">
        <f aca="true" t="shared" si="0" ref="F5:F30">HD5</f>
        <v>9,8</v>
      </c>
      <c r="G5" s="111">
        <f>IF(AND('Raw Data'!D3&lt;&gt;"",'Raw Data'!D3&lt;&gt;0),ROUNDDOWN('Raw Data'!D3,Title!$M$1),"")</f>
        <v>51.97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732.34</v>
      </c>
      <c r="J5" s="51">
        <f ca="1">IF(K5&lt;&gt;0,RANK(K5,K$5:INDIRECT(J$1,TRUE)),"")</f>
        <v>6</v>
      </c>
      <c r="K5" s="71">
        <f aca="true" t="shared" si="1" ref="K5:K15">IF(AND(H5&lt;&gt;"",I5&lt;&gt;""),I5-H5,IF(AND(H5&lt;&gt;"",I5=""),0-H5,IF(I5&lt;&gt;"",I5,0)))</f>
        <v>732.34</v>
      </c>
      <c r="L5" s="71">
        <f aca="true" t="shared" si="2" ref="L5:L30">IF(AND($C$2&gt;0,B5&lt;&gt;""),ROUND(SUM(ER5:ER5)+SUM(FM5:FM5)-SUM(GH5),2),"")</f>
        <v>732.34</v>
      </c>
      <c r="M5" s="103">
        <f ca="1">IF(L5&lt;&gt;"",RANK(L5,L$5:INDIRECT(M$1,TRUE)),"")</f>
        <v>6</v>
      </c>
      <c r="N5" s="111">
        <f>IF(AND('Raw Data'!F3&lt;&gt;"",'Raw Data'!F3&lt;&gt;0),ROUNDDOWN('Raw Data'!F3,Title!$M$1),"")</f>
        <v>51.45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668.02</v>
      </c>
      <c r="Q5" s="51">
        <f ca="1">IF(OR(N5&lt;&gt;"",O5&lt;&gt;""),RANK(R5,R$5:INDIRECT(Q$1,TRUE)),"")</f>
        <v>6</v>
      </c>
      <c r="R5" s="71">
        <f>IF(AND(O5&lt;&gt;"",P5&lt;&gt;""),P5-O5,IF(AND(O5&lt;&gt;"",P5=""),0-O5,IF(P5&lt;&gt;"",P5,"")))</f>
        <v>668.02</v>
      </c>
      <c r="S5" s="71">
        <f aca="true" t="shared" si="3" ref="S5:S30">IF(AND($C$2&gt;1,B5&lt;&gt;""),ROUND(SUM(ER5:ES5)+SUM(FM5:FN5)-SUM(GI5),2),"")</f>
        <v>1400.36</v>
      </c>
      <c r="T5" s="103">
        <f ca="1">IF(S5&lt;&gt;"",RANK(S5,S$5:INDIRECT(T$1,TRUE)),"")</f>
        <v>6</v>
      </c>
      <c r="U5" s="111">
        <f>IF(AND('Raw Data'!H3&lt;&gt;"",'Raw Data'!H3&lt;&gt;0),ROUNDDOWN('Raw Data'!H3,Title!$M$1),"")</f>
        <v>44.67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798.07</v>
      </c>
      <c r="X5" s="51">
        <f ca="1">IF(OR(U5&lt;&gt;"",V5&lt;&gt;""),RANK(Y5,Y$5:INDIRECT(X$1,TRUE)),"")</f>
        <v>2</v>
      </c>
      <c r="Y5" s="71">
        <f>IF(AND(V5&lt;&gt;"",W5&lt;&gt;""),W5-V5,IF(AND(V5&lt;&gt;"",W5=""),0-V5,IF(W5&lt;&gt;"",W5,"")))</f>
        <v>798.07</v>
      </c>
      <c r="Z5" s="71">
        <f aca="true" t="shared" si="4" ref="Z5:Z30">IF(AND($C$2&gt;2,B5&lt;&gt;""),ROUND(SUM(ER5:ET5)+SUM(FM5:FO5)-SUM(GJ5),2),"")</f>
        <v>2198.43</v>
      </c>
      <c r="AA5" s="103">
        <f ca="1">IF(Z5&lt;&gt;"",RANK(Z5,Z$5:INDIRECT(AA$1,TRUE)),"")</f>
        <v>6</v>
      </c>
      <c r="AB5" s="111">
        <f>IF(AND('Raw Data'!J3&lt;&gt;"",'Raw Data'!J3&lt;&gt;0),ROUNDDOWN('Raw Data'!J3,Title!$M$1),"")</f>
        <v>46.16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751.29</v>
      </c>
      <c r="AE5" s="51">
        <f ca="1">IF(OR(AB5&lt;&gt;"",AC5&lt;&gt;""),RANK(AF5,AF$5:INDIRECT(AE$1,TRUE)),"")</f>
        <v>5</v>
      </c>
      <c r="AF5" s="71">
        <f>IF(AND(AC5&lt;&gt;"",AD5&lt;&gt;""),AD5-AC5,IF(AND(AC5&lt;&gt;"",AD5=""),0-AC5,IF(AD5&lt;&gt;"",AD5,"")))</f>
        <v>751.29</v>
      </c>
      <c r="AG5" s="71">
        <f aca="true" t="shared" si="5" ref="AG5:AG30">IF(AND($C$2&gt;3,B5&lt;&gt;""),ROUND(SUM(ER5:EU5)+SUM(FM5:FP5)-SUM(GK5),2),"")</f>
        <v>2281.7</v>
      </c>
      <c r="AH5" s="103">
        <f ca="1">IF(AG5&lt;&gt;"",RANK(AG5,AG$5:INDIRECT(AH$1,TRUE)),"")</f>
        <v>6</v>
      </c>
      <c r="AI5" s="111">
        <f>IF(AND('Raw Data'!L3&lt;&gt;"",'Raw Data'!L3&lt;&gt;0),ROUNDDOWN('Raw Data'!L3,Title!$M$1),"")</f>
        <v>39.65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1000</v>
      </c>
      <c r="AL5" s="51">
        <f ca="1">IF(OR(AI5&lt;&gt;"",AJ5&lt;&gt;""),RANK(AM5,AM$5:INDIRECT(AL$1,TRUE)),"")</f>
        <v>1</v>
      </c>
      <c r="AM5" s="71">
        <f>IF(AND(AJ5&lt;&gt;"",AK5&lt;&gt;""),AK5-AJ5,IF(AND(AJ5&lt;&gt;"",AK5=""),0-AJ5,IF(AK5&lt;&gt;"",AK5,"")))</f>
        <v>1000</v>
      </c>
      <c r="AN5" s="71">
        <f aca="true" t="shared" si="6" ref="AN5:AN30">IF(AND($C$2&gt;4,B5&lt;&gt;""),ROUND(SUM(ER5:EV5)+SUM(FM5:FQ5)-SUM(GL5),2),"")</f>
        <v>3281.7</v>
      </c>
      <c r="AO5" s="103">
        <f ca="1">IF(AN5&lt;&gt;"",RANK(AN5,AN$5:INDIRECT(AO$1,TRUE)),"")</f>
        <v>5</v>
      </c>
      <c r="AP5" s="111">
        <f>IF(AND('Raw Data'!N3&lt;&gt;"",'Raw Data'!N3&lt;&gt;0),ROUNDDOWN('Raw Data'!N3,Title!$M$1),"")</f>
        <v>48.18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746.16</v>
      </c>
      <c r="AS5" s="51">
        <f ca="1">IF(OR(AP5&lt;&gt;"",AQ5&lt;&gt;""),RANK(AT5,AT$5:INDIRECT(AS$1,TRUE)),"")</f>
        <v>4</v>
      </c>
      <c r="AT5" s="71">
        <f>IF(AND(AQ5&lt;&gt;"",AR5&lt;&gt;""),AR5-AQ5,IF(AND(AQ5&lt;&gt;"",AR5=""),0-AQ5,IF(AR5&lt;&gt;"",AR5,"")))</f>
        <v>746.16</v>
      </c>
      <c r="AU5" s="71">
        <f aca="true" t="shared" si="7" ref="AU5:AU30">IF(AND($C$2&gt;5,B5&lt;&gt;""),ROUND(SUM(ER5:EW5)+SUM(FM5:FR5)-SUM(GM5),2),"")</f>
        <v>4027.86</v>
      </c>
      <c r="AV5" s="103">
        <f ca="1">IF(AU5&lt;&gt;"",RANK(AU5,AU$5:INDIRECT(AV$1,TRUE)),"")</f>
        <v>5</v>
      </c>
      <c r="AW5" s="111">
        <f>IF(AND('Raw Data'!P3&lt;&gt;"",'Raw Data'!P3&lt;&gt;0),ROUNDDOWN('Raw Data'!P3,Title!$M$1),"")</f>
        <v>49.32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896.39</v>
      </c>
      <c r="AZ5" s="51">
        <f ca="1">IF(OR(AW5&lt;&gt;"",AX5&lt;&gt;""),RANK(BA5,BA$5:INDIRECT(AZ$1,TRUE)),"")</f>
        <v>4</v>
      </c>
      <c r="BA5" s="71">
        <f>IF(AND(AX5&lt;&gt;"",AY5&lt;&gt;""),AY5-AX5,IF(AND(AX5&lt;&gt;"",AY5=""),0-AX5,IF(AY5&lt;&gt;"",AY5,"")))</f>
        <v>896.39</v>
      </c>
      <c r="BB5" s="71">
        <f aca="true" t="shared" si="8" ref="BB5:BB30">IF(AND($C$2&gt;6,B5&lt;&gt;""),ROUND(SUM(ER5:EX5)+SUM(FM5:FS5)-SUM(GN5),2),"")</f>
        <v>4924.25</v>
      </c>
      <c r="BC5" s="103">
        <f ca="1">IF(BB5&lt;&gt;"",RANK(BB5,BB$5:INDIRECT(BC$1,TRUE)),"")</f>
        <v>5</v>
      </c>
      <c r="BD5" s="111">
        <f>IF(AND('Raw Data'!R3&lt;&gt;"",'Raw Data'!R3&lt;&gt;0),ROUNDDOWN('Raw Data'!R3,Title!$M$1),"")</f>
        <v>58.7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655.02</v>
      </c>
      <c r="BG5" s="51">
        <f ca="1">IF(OR(BD5&lt;&gt;"",BE5&lt;&gt;""),RANK(BH5,BH$5:INDIRECT(BG$1,TRUE)),"")</f>
        <v>7</v>
      </c>
      <c r="BH5" s="71">
        <f>IF(AND(BE5&lt;&gt;"",BF5&lt;&gt;""),BF5-BE5,IF(AND(BE5&lt;&gt;"",BF5=""),0-BE5,IF(BF5&lt;&gt;"",BF5,"")))</f>
        <v>655.02</v>
      </c>
      <c r="BI5" s="71">
        <f aca="true" t="shared" si="9" ref="BI5:BI30">IF(AND($C$2&gt;7,B5&lt;&gt;""),ROUND(SUM(ER5:EY5)+SUM(FM5:FT5)-SUM(GO5),2),"")</f>
        <v>5592.27</v>
      </c>
      <c r="BJ5" s="103">
        <f ca="1">IF(BI5&lt;&gt;"",RANK(BI5,BI$5:INDIRECT(BJ$1,TRUE)),"")</f>
        <v>5</v>
      </c>
      <c r="BK5" s="111">
        <f>IF(AND('Raw Data'!T3&lt;&gt;"",'Raw Data'!T3&lt;&gt;0),ROUNDDOWN('Raw Data'!T3,Title!$M$1),"")</f>
        <v>56.77</v>
      </c>
      <c r="BL5" s="109">
        <f>IF(AND('Raw Data'!U3&lt;&gt;"",'Raw Data'!U3&lt;&gt;0),'Raw Data'!U3,"")</f>
      </c>
      <c r="BM5" s="97">
        <f>IF(AND(BK5&gt;0,BK5&lt;&gt;""),ROUNDDOWN((1000*BK$1)/BK5,2),IF(BK5="","",0))</f>
        <v>648.93</v>
      </c>
      <c r="BN5" s="51">
        <f ca="1">IF(OR(BK5&lt;&gt;"",BL5&lt;&gt;""),RANK(BO5,BO$5:INDIRECT(BN$1,TRUE)),"")</f>
        <v>5</v>
      </c>
      <c r="BO5" s="71">
        <f>IF(AND(BL5&lt;&gt;"",BM5&lt;&gt;""),BM5-BL5,IF(AND(BL5&lt;&gt;"",BM5=""),0-BL5,IF(BM5&lt;&gt;"",BM5,"")))</f>
        <v>648.93</v>
      </c>
      <c r="BP5" s="71">
        <f aca="true" t="shared" si="10" ref="BP5:BP30">IF(AND($C$2&gt;8,B5&lt;&gt;""),ROUND(SUM(ER5:EZ5)+SUM(FM5:FU5)-SUM(GP5),2),"")</f>
        <v>6247.29</v>
      </c>
      <c r="BQ5" s="103">
        <f ca="1">IF(BP5&lt;&gt;"",RANK(BP5,BP$5:INDIRECT(BQ$1,TRUE)),"")</f>
        <v>5</v>
      </c>
      <c r="BR5" s="111">
        <f>IF(AND('Raw Data'!V3&lt;&gt;"",'Raw Data'!V3&lt;&gt;0),ROUNDDOWN('Raw Data'!V3,Title!$M$1),"")</f>
        <v>52.78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674.11</v>
      </c>
      <c r="BU5" s="51">
        <f ca="1">IF(OR(BR5&lt;&gt;"",BS5&lt;&gt;""),RANK(BV5,BV$5:INDIRECT(BU$1,TRUE)),"")</f>
        <v>5</v>
      </c>
      <c r="BV5" s="71">
        <f>IF(AND(BS5&lt;&gt;"",BT5&lt;&gt;""),BT5-BS5,IF(AND(BS5&lt;&gt;"",BT5=""),0-BS5,IF(BT5&lt;&gt;"",BT5,"")))</f>
        <v>674.11</v>
      </c>
      <c r="BW5" s="71">
        <f aca="true" t="shared" si="11" ref="BW5:BW30">IF(AND($C$2&gt;9,B5&lt;&gt;""),ROUND(SUM(ER5:FA5)+SUM(FM5:FV5)-SUM(GQ5),2),"")</f>
        <v>6921.4</v>
      </c>
      <c r="BX5" s="103">
        <f ca="1">IF(BW5&lt;&gt;"",RANK(BW5,BW$5:INDIRECT(BX$1,TRUE)),"")</f>
        <v>5</v>
      </c>
      <c r="BY5" s="111">
        <f>IF(AND('Raw Data'!X3&lt;&gt;"",'Raw Data'!X3&lt;&gt;0),ROUNDDOWN('Raw Data'!X3,Title!$M$1),"")</f>
        <v>44.17</v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  <v>763.64</v>
      </c>
      <c r="CB5" s="51">
        <f ca="1">IF(OR(BY5&lt;&gt;"",BZ5&lt;&gt;""),RANK(CC5,CC$5:INDIRECT(CB$1,TRUE)),"")</f>
        <v>2</v>
      </c>
      <c r="CC5" s="71">
        <f>IF(AND(BZ5&lt;&gt;"",CA5&lt;&gt;""),CA5-BZ5,IF(AND(BZ5&lt;&gt;"",CA5=""),0-BZ5,IF(CA5&lt;&gt;"",CA5,"")))</f>
        <v>763.64</v>
      </c>
      <c r="CD5" s="71">
        <f aca="true" t="shared" si="12" ref="CD5:CD30">IF(AND($C$2&gt;10,B5&lt;&gt;""),ROUND(SUM(ER5:FB5)+SUM(FM5:FW5)-SUM(GR5),2),"")</f>
        <v>7685.04</v>
      </c>
      <c r="CE5" s="103">
        <f ca="1">IF(CD5&lt;&gt;"",RANK(CD5,CD$5:INDIRECT(CE$1,TRUE)),"")</f>
        <v>5</v>
      </c>
      <c r="CF5" s="111">
        <f>IF(AND('Raw Data'!Z3&lt;&gt;"",'Raw Data'!Z3&lt;&gt;0),ROUNDDOWN('Raw Data'!Z3,Title!$M$1),"")</f>
        <v>49.98</v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  <v>984.19</v>
      </c>
      <c r="CI5" s="51">
        <f ca="1">IF(OR(CF5&lt;&gt;"",CG5&lt;&gt;""),RANK(CJ5,CJ$5:INDIRECT(CI$1,TRUE)),"")</f>
        <v>2</v>
      </c>
      <c r="CJ5" s="71">
        <f>IF(AND(CG5&lt;&gt;"",CH5&lt;&gt;""),CH5-CG5,IF(AND(CG5&lt;&gt;"",CH5=""),0-CG5,IF(CH5&lt;&gt;"",CH5,"")))</f>
        <v>984.19</v>
      </c>
      <c r="CK5" s="71">
        <f aca="true" t="shared" si="13" ref="CK5:CK30">IF(AND($C$2&gt;11,B5&lt;&gt;""),ROUND(SUM(ER5:FC5)+SUM(FM5:FX5)-SUM(GS5),2),"")</f>
        <v>8669.23</v>
      </c>
      <c r="CL5" s="103">
        <f ca="1">IF(CK5&lt;&gt;"",RANK(CK5,CK$5:INDIRECT(CL$1,TRUE)),"")</f>
        <v>5</v>
      </c>
      <c r="CM5" s="111">
        <f>IF(AND('Raw Data'!AB3&lt;&gt;"",'Raw Data'!AB3&lt;&gt;0),ROUNDDOWN('Raw Data'!AB3,Title!$M$1),"")</f>
        <v>54.89</v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  <v>827.83</v>
      </c>
      <c r="CP5" s="51">
        <f ca="1">IF(OR(CM5&lt;&gt;"",CN5&lt;&gt;""),RANK(CQ5,CQ$5:INDIRECT(CP$1,TRUE)),"")</f>
        <v>5</v>
      </c>
      <c r="CQ5" s="71">
        <f>IF(AND(CN5&lt;&gt;"",CO5&lt;&gt;""),CO5-CN5,IF(AND(CN5&lt;&gt;"",CO5=""),0-CN5,IF(CO5&lt;&gt;"",CO5,"")))</f>
        <v>827.83</v>
      </c>
      <c r="CR5" s="71">
        <f aca="true" t="shared" si="14" ref="CR5:CR30">IF(AND($C$2&gt;12,B5&lt;&gt;""),ROUND(SUM(ER5:FD5)+SUM(FM5:FY5)-SUM(GT5),2),"")</f>
        <v>9497.06</v>
      </c>
      <c r="CS5" s="103">
        <f ca="1">IF(CR5&lt;&gt;"",RANK(CR5,CR$5:INDIRECT(CS$1,TRUE)),"")</f>
        <v>5</v>
      </c>
      <c r="CT5" s="111">
        <f>IF(AND('Raw Data'!AD3&lt;&gt;"",'Raw Data'!AD3&lt;&gt;0),ROUNDDOWN('Raw Data'!AD3,Title!$M$1),"")</f>
        <v>59.15</v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  <v>740.32</v>
      </c>
      <c r="CW5" s="51">
        <f ca="1">IF(OR(CT5&lt;&gt;"",CU5&lt;&gt;""),RANK(CX5,CX$5:INDIRECT(CW$1,TRUE)),"")</f>
        <v>5</v>
      </c>
      <c r="CX5" s="71">
        <f>IF(AND(CU5&lt;&gt;"",CV5&lt;&gt;""),CV5-CU5,IF(AND(CU5&lt;&gt;"",CV5=""),0-CU5,IF(CV5&lt;&gt;"",CV5,"")))</f>
        <v>740.32</v>
      </c>
      <c r="CY5" s="71">
        <f aca="true" t="shared" si="15" ref="CY5:CY30">IF(AND($C$2&gt;13,B5&lt;&gt;""),ROUND(SUM(ER5:FE5)+SUM(FM5:FZ5)-SUM(GU5),2),"")</f>
        <v>10237.38</v>
      </c>
      <c r="CZ5" s="103">
        <f ca="1">IF(CY5&lt;&gt;"",RANK(CY5,CY$5:INDIRECT(CZ$1,TRUE)),"")</f>
        <v>5</v>
      </c>
      <c r="DA5" s="111">
        <f>IF(AND('Raw Data'!AF3&lt;&gt;"",'Raw Data'!AF3&lt;&gt;0),ROUNDDOWN('Raw Data'!AF3,Title!$M$1),"")</f>
        <v>54.46</v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  <v>767.9</v>
      </c>
      <c r="DD5" s="51">
        <f ca="1">IF(OR(DA5&lt;&gt;"",DB5&lt;&gt;""),RANK(DE5,DE$5:INDIRECT(DD$1,TRUE)),"")</f>
        <v>5</v>
      </c>
      <c r="DE5" s="71">
        <f>IF(AND(DB5&lt;&gt;"",DC5&lt;&gt;""),DC5-DB5,IF(AND(DB5&lt;&gt;"",DC5=""),0-DB5,IF(DC5&lt;&gt;"",DC5,"")))</f>
        <v>767.9</v>
      </c>
      <c r="DF5" s="71">
        <f aca="true" t="shared" si="16" ref="DF5:DF30">IF(AND($C$2&gt;14,B5&lt;&gt;""),ROUND(SUM(ER5:FF5)+SUM(FM5:GA5)-SUM(GV5),2),"")</f>
        <v>10350.26</v>
      </c>
      <c r="DG5" s="103">
        <f ca="1">IF(DF5&lt;&gt;"",RANK(DF5,DF$5:INDIRECT(DG$1,TRUE)),"")</f>
        <v>5</v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0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0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0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0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0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$ER$5:$FF$5</v>
      </c>
      <c r="ER5" s="71">
        <f>SUM(I5)</f>
        <v>732.34</v>
      </c>
      <c r="ES5" s="71">
        <f>SUM(P5)</f>
        <v>668.02</v>
      </c>
      <c r="ET5" s="71">
        <f>SUM(W5)</f>
        <v>798.07</v>
      </c>
      <c r="EU5" s="71">
        <f>SUM(AD5)</f>
        <v>751.29</v>
      </c>
      <c r="EV5" s="71">
        <f>SUM(AK5)</f>
        <v>1000</v>
      </c>
      <c r="EW5" s="71">
        <f>SUM(AR5)</f>
        <v>746.16</v>
      </c>
      <c r="EX5" s="71">
        <f>SUM(AY5)</f>
        <v>896.39</v>
      </c>
      <c r="EY5" s="71">
        <f>SUM(BF5)</f>
        <v>655.02</v>
      </c>
      <c r="EZ5" s="71">
        <f>SUM(BM5)</f>
        <v>648.93</v>
      </c>
      <c r="FA5" s="71">
        <f>SUM(BT5)</f>
        <v>674.11</v>
      </c>
      <c r="FB5" s="71">
        <f>SUM(CA5)</f>
        <v>763.64</v>
      </c>
      <c r="FC5" s="71">
        <f>SUM(CH5)</f>
        <v>984.19</v>
      </c>
      <c r="FD5" s="71">
        <f>SUM(CO5)</f>
        <v>827.83</v>
      </c>
      <c r="FE5" s="71">
        <f>SUM(CV5)</f>
        <v>740.32</v>
      </c>
      <c r="FF5" s="71">
        <f>SUM(DC5)</f>
        <v>767.9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$FM$5:$GA$5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GV5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668.02</v>
      </c>
      <c r="GL5" s="71">
        <f>GetDiscardScore($ER5:EV5,GL$1)</f>
        <v>668.02</v>
      </c>
      <c r="GM5" s="71">
        <f>GetDiscardScore($ER5:EW5,GM$1)</f>
        <v>668.02</v>
      </c>
      <c r="GN5" s="71">
        <f>GetDiscardScore($ER5:EX5,GN$1)</f>
        <v>668.02</v>
      </c>
      <c r="GO5" s="71">
        <f>GetDiscardScore($ER5:EY5,GO$1)</f>
        <v>655.02</v>
      </c>
      <c r="GP5" s="71">
        <f>GetDiscardScore($ER5:EZ5,GP$1)</f>
        <v>648.93</v>
      </c>
      <c r="GQ5" s="71">
        <f>GetDiscardScore($ER5:FA5,GQ$1)</f>
        <v>648.93</v>
      </c>
      <c r="GR5" s="71">
        <f>GetDiscardScore($ER5:FB5,GR$1)</f>
        <v>648.93</v>
      </c>
      <c r="GS5" s="71">
        <f>GetDiscardScore($ER5:FC5,GS$1)</f>
        <v>648.93</v>
      </c>
      <c r="GT5" s="71">
        <f>GetDiscardScore($ER5:FD5,GT$1)</f>
        <v>648.93</v>
      </c>
      <c r="GU5" s="71">
        <f>GetDiscardScore($ER5:FE5,GU$1)</f>
        <v>648.93</v>
      </c>
      <c r="GV5" s="71">
        <f>GetDiscardScore($ER5:FF5,GV$1)</f>
        <v>1303.9499999999998</v>
      </c>
      <c r="GW5" s="71">
        <f>GetDiscardScore($ER5:FG5,GW$1)</f>
        <v>648.93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10350.26</v>
      </c>
      <c r="HC5" s="72">
        <f ca="1">IF(HB5&lt;&gt;"",RANK(HB5,HB$5:INDIRECT(HC$1,TRUE),0),"")</f>
        <v>5</v>
      </c>
      <c r="HD5" s="70" t="str">
        <f ca="1">IF(HB5&lt;&gt;"",GetDiscardRounds(INDIRECT(EQ5),INDIRECT($GG$1)),"")</f>
        <v>9,8</v>
      </c>
    </row>
    <row r="6" spans="1:212" s="51" customFormat="1" ht="11.25">
      <c r="A6" s="41">
        <v>2</v>
      </c>
      <c r="B6" s="41" t="str">
        <f>IF('Raw Data'!B4&lt;&gt;"",'Raw Data'!B4,"")</f>
        <v>Rich Baygo</v>
      </c>
      <c r="C6" s="51">
        <f>IF('Raw Data'!C4&lt;&gt;"",'Raw Data'!C4,"")</f>
        <v>0</v>
      </c>
      <c r="D6" s="42">
        <f aca="true" t="shared" si="22" ref="D6:D30">HB6</f>
        <v>11699.55</v>
      </c>
      <c r="E6" s="69">
        <f aca="true" t="shared" si="23" ref="E6:E30">IF($C$2&gt;0,HC6,"")</f>
        <v>2</v>
      </c>
      <c r="F6" s="99" t="str">
        <f t="shared" si="0"/>
        <v>6,9</v>
      </c>
      <c r="G6" s="111">
        <f>IF(AND('Raw Data'!D4&lt;&gt;"",'Raw Data'!D4&lt;&gt;0),ROUNDDOWN('Raw Data'!D4,Title!$M$1),"")</f>
        <v>39.1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973.4</v>
      </c>
      <c r="J6" s="51">
        <f ca="1">IF(K6&lt;&gt;0,RANK(K6,K$5:INDIRECT(J$1,TRUE)),"")</f>
        <v>2</v>
      </c>
      <c r="K6" s="71">
        <f t="shared" si="1"/>
        <v>973.4</v>
      </c>
      <c r="L6" s="71">
        <f t="shared" si="2"/>
        <v>973.4</v>
      </c>
      <c r="M6" s="104">
        <f ca="1">IF(L6&lt;&gt;"",RANK(L6,L$5:INDIRECT(M$1,TRUE)),"")</f>
        <v>2</v>
      </c>
      <c r="N6" s="111">
        <f>IF(AND('Raw Data'!F4&lt;&gt;"",'Raw Data'!F4&lt;&gt;0),ROUNDDOWN('Raw Data'!F4,Title!$M$1),"")</f>
        <v>40.36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851.58</v>
      </c>
      <c r="Q6" s="51">
        <f ca="1">IF(OR(N6&lt;&gt;"",O6&lt;&gt;""),RANK(R6,R$5:INDIRECT(Q$1,TRUE)),"")</f>
        <v>2</v>
      </c>
      <c r="R6" s="71">
        <f aca="true" t="shared" si="24" ref="R6:R30">IF(AND(O6&lt;&gt;"",P6&lt;&gt;""),P6-O6,IF(AND(O6&lt;&gt;"",P6=""),0-O6,IF(P6&lt;&gt;"",P6,"")))</f>
        <v>851.58</v>
      </c>
      <c r="S6" s="71">
        <f t="shared" si="3"/>
        <v>1824.98</v>
      </c>
      <c r="T6" s="104">
        <f ca="1">IF(S6&lt;&gt;"",RANK(S6,S$5:INDIRECT(T$1,TRUE)),"")</f>
        <v>2</v>
      </c>
      <c r="U6" s="111">
        <f>IF(AND('Raw Data'!H4&lt;&gt;"",'Raw Data'!H4&lt;&gt;0),ROUNDDOWN('Raw Data'!H4,Title!$M$1),"")</f>
        <v>49.21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724.44</v>
      </c>
      <c r="X6" s="51">
        <f ca="1">IF(OR(U6&lt;&gt;"",V6&lt;&gt;""),RANK(Y6,Y$5:INDIRECT(X$1,TRUE)),"")</f>
        <v>6</v>
      </c>
      <c r="Y6" s="71">
        <f aca="true" t="shared" si="25" ref="Y6:Y30">IF(AND(V6&lt;&gt;"",W6&lt;&gt;""),W6-V6,IF(AND(V6&lt;&gt;"",W6=""),0-V6,IF(W6&lt;&gt;"",W6,"")))</f>
        <v>724.44</v>
      </c>
      <c r="Z6" s="71">
        <f t="shared" si="4"/>
        <v>2549.42</v>
      </c>
      <c r="AA6" s="104">
        <f ca="1">IF(Z6&lt;&gt;"",RANK(Z6,Z$5:INDIRECT(AA$1,TRUE)),"")</f>
        <v>2</v>
      </c>
      <c r="AB6" s="111">
        <f>IF(AND('Raw Data'!J4&lt;&gt;"",'Raw Data'!J4&lt;&gt;0),ROUNDDOWN('Raw Data'!J4,Title!$M$1),"")</f>
        <v>34.72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998.84</v>
      </c>
      <c r="AE6" s="51">
        <f ca="1">IF(OR(AB6&lt;&gt;"",AC6&lt;&gt;""),RANK(AF6,AF$5:INDIRECT(AE$1,TRUE)),"")</f>
        <v>2</v>
      </c>
      <c r="AF6" s="71">
        <f aca="true" t="shared" si="26" ref="AF6:AF30">IF(AND(AC6&lt;&gt;"",AD6&lt;&gt;""),AD6-AC6,IF(AND(AC6&lt;&gt;"",AD6=""),0-AC6,IF(AD6&lt;&gt;"",AD6,"")))</f>
        <v>998.84</v>
      </c>
      <c r="AG6" s="71">
        <f t="shared" si="5"/>
        <v>2823.82</v>
      </c>
      <c r="AH6" s="104">
        <f ca="1">IF(AG6&lt;&gt;"",RANK(AG6,AG$5:INDIRECT(AH$1,TRUE)),"")</f>
        <v>2</v>
      </c>
      <c r="AI6" s="111">
        <f>IF(AND('Raw Data'!L4&lt;&gt;"",'Raw Data'!L4&lt;&gt;0),ROUNDDOWN('Raw Data'!L4,Title!$M$1),"")</f>
        <v>46.45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853.6</v>
      </c>
      <c r="AL6" s="51">
        <f ca="1">IF(OR(AI6&lt;&gt;"",AJ6&lt;&gt;""),RANK(AM6,AM$5:INDIRECT(AL$1,TRUE)),"")</f>
        <v>4</v>
      </c>
      <c r="AM6" s="71">
        <f aca="true" t="shared" si="27" ref="AM6:AM30">IF(AND(AJ6&lt;&gt;"",AK6&lt;&gt;""),AK6-AJ6,IF(AND(AJ6&lt;&gt;"",AK6=""),0-AJ6,IF(AK6&lt;&gt;"",AK6,"")))</f>
        <v>853.6</v>
      </c>
      <c r="AN6" s="71">
        <f t="shared" si="6"/>
        <v>3677.42</v>
      </c>
      <c r="AO6" s="104">
        <f ca="1">IF(AN6&lt;&gt;"",RANK(AN6,AN$5:INDIRECT(AO$1,TRUE)),"")</f>
        <v>2</v>
      </c>
      <c r="AP6" s="111">
        <f>IF(AND('Raw Data'!N4&lt;&gt;"",'Raw Data'!N4&lt;&gt;0),ROUNDDOWN('Raw Data'!N4,Title!$M$1),"")</f>
        <v>50.57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710.89</v>
      </c>
      <c r="AS6" s="51">
        <f ca="1">IF(OR(AP6&lt;&gt;"",AQ6&lt;&gt;""),RANK(AT6,AT$5:INDIRECT(AS$1,TRUE)),"")</f>
        <v>5</v>
      </c>
      <c r="AT6" s="71">
        <f aca="true" t="shared" si="28" ref="AT6:AT30">IF(AND(AQ6&lt;&gt;"",AR6&lt;&gt;""),AR6-AQ6,IF(AND(AQ6&lt;&gt;"",AR6=""),0-AQ6,IF(AR6&lt;&gt;"",AR6,"")))</f>
        <v>710.89</v>
      </c>
      <c r="AU6" s="71">
        <f t="shared" si="7"/>
        <v>4401.86</v>
      </c>
      <c r="AV6" s="104">
        <f ca="1">IF(AU6&lt;&gt;"",RANK(AU6,AU$5:INDIRECT(AV$1,TRUE)),"")</f>
        <v>2</v>
      </c>
      <c r="AW6" s="111">
        <f>IF(AND('Raw Data'!P4&lt;&gt;"",'Raw Data'!P4&lt;&gt;0),ROUNDDOWN('Raw Data'!P4,Title!$M$1),"")</f>
        <v>46.13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958.37</v>
      </c>
      <c r="AZ6" s="51">
        <f ca="1">IF(OR(AW6&lt;&gt;"",AX6&lt;&gt;""),RANK(BA6,BA$5:INDIRECT(AZ$1,TRUE)),"")</f>
        <v>2</v>
      </c>
      <c r="BA6" s="71">
        <f aca="true" t="shared" si="29" ref="BA6:BA30">IF(AND(AX6&lt;&gt;"",AY6&lt;&gt;""),AY6-AX6,IF(AND(AX6&lt;&gt;"",AY6=""),0-AX6,IF(AY6&lt;&gt;"",AY6,"")))</f>
        <v>958.37</v>
      </c>
      <c r="BB6" s="71">
        <f t="shared" si="8"/>
        <v>5360.23</v>
      </c>
      <c r="BC6" s="104">
        <f ca="1">IF(BB6&lt;&gt;"",RANK(BB6,BB$5:INDIRECT(BC$1,TRUE)),"")</f>
        <v>3</v>
      </c>
      <c r="BD6" s="111">
        <f>IF(AND('Raw Data'!R4&lt;&gt;"",'Raw Data'!R4&lt;&gt;0),ROUNDDOWN('Raw Data'!R4,Title!$M$1),"")</f>
        <v>42.06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914.17</v>
      </c>
      <c r="BG6" s="51">
        <f ca="1">IF(OR(BD6&lt;&gt;"",BE6&lt;&gt;""),RANK(BH6,BH$5:INDIRECT(BG$1,TRUE)),"")</f>
        <v>2</v>
      </c>
      <c r="BH6" s="71">
        <f aca="true" t="shared" si="30" ref="BH6:BH30">IF(AND(BE6&lt;&gt;"",BF6&lt;&gt;""),BF6-BE6,IF(AND(BE6&lt;&gt;"",BF6=""),0-BE6,IF(BF6&lt;&gt;"",BF6,"")))</f>
        <v>914.17</v>
      </c>
      <c r="BI6" s="71">
        <f t="shared" si="9"/>
        <v>6274.4</v>
      </c>
      <c r="BJ6" s="104">
        <f ca="1">IF(BI6&lt;&gt;"",RANK(BI6,BI$5:INDIRECT(BJ$1,TRUE)),"")</f>
        <v>2</v>
      </c>
      <c r="BK6" s="111">
        <f>IF(AND('Raw Data'!T4&lt;&gt;"",'Raw Data'!T4&lt;&gt;0),ROUNDDOWN('Raw Data'!T4,Title!$M$1),"")</f>
        <v>51.8</v>
      </c>
      <c r="BL6" s="109">
        <f>IF(AND('Raw Data'!U4&lt;&gt;"",'Raw Data'!U4&lt;&gt;0),'Raw Data'!U4,"")</f>
      </c>
      <c r="BM6" s="97">
        <f aca="true" t="shared" si="31" ref="BM6:BM30">IF(AND(BK6&gt;0,BK6&lt;&gt;""),ROUNDDOWN((1000*BK$1)/BK6,2),IF(BK6="","",0))</f>
        <v>711.19</v>
      </c>
      <c r="BN6" s="51">
        <f ca="1">IF(OR(BK6&lt;&gt;"",BL6&lt;&gt;""),RANK(BO6,BO$5:INDIRECT(BN$1,TRUE)),"")</f>
        <v>4</v>
      </c>
      <c r="BO6" s="71">
        <f aca="true" t="shared" si="32" ref="BO6:BO30">IF(AND(BL6&lt;&gt;"",BM6&lt;&gt;""),BM6-BL6,IF(AND(BL6&lt;&gt;"",BM6=""),0-BL6,IF(BM6&lt;&gt;"",BM6,"")))</f>
        <v>711.19</v>
      </c>
      <c r="BP6" s="71">
        <f t="shared" si="10"/>
        <v>6985.59</v>
      </c>
      <c r="BQ6" s="104">
        <f ca="1">IF(BP6&lt;&gt;"",RANK(BP6,BP$5:INDIRECT(BQ$1,TRUE)),"")</f>
        <v>3</v>
      </c>
      <c r="BR6" s="111">
        <f>IF(AND('Raw Data'!V4&lt;&gt;"",'Raw Data'!V4&lt;&gt;0),ROUNDDOWN('Raw Data'!V4,Title!$M$1),"")</f>
        <v>40.42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880.25</v>
      </c>
      <c r="BU6" s="51">
        <f ca="1">IF(OR(BR6&lt;&gt;"",BS6&lt;&gt;""),RANK(BV6,BV$5:INDIRECT(BU$1,TRUE)),"")</f>
        <v>3</v>
      </c>
      <c r="BV6" s="71">
        <f aca="true" t="shared" si="33" ref="BV6:BV30">IF(AND(BS6&lt;&gt;"",BT6&lt;&gt;""),BT6-BS6,IF(AND(BS6&lt;&gt;"",BT6=""),0-BS6,IF(BT6&lt;&gt;"",BT6,"")))</f>
        <v>880.25</v>
      </c>
      <c r="BW6" s="71">
        <f t="shared" si="11"/>
        <v>7865.84</v>
      </c>
      <c r="BX6" s="104">
        <f ca="1">IF(BW6&lt;&gt;"",RANK(BW6,BW$5:INDIRECT(BX$1,TRUE)),"")</f>
        <v>3</v>
      </c>
      <c r="BY6" s="111">
        <f>IF(AND('Raw Data'!X4&lt;&gt;"",'Raw Data'!X4&lt;&gt;0),ROUNDDOWN('Raw Data'!X4,Title!$M$1),"")</f>
        <v>33.73</v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  <v>1000</v>
      </c>
      <c r="CB6" s="51">
        <f ca="1">IF(OR(BY6&lt;&gt;"",BZ6&lt;&gt;""),RANK(CC6,CC$5:INDIRECT(CB$1,TRUE)),"")</f>
        <v>1</v>
      </c>
      <c r="CC6" s="71">
        <f aca="true" t="shared" si="34" ref="CC6:CC30">IF(AND(BZ6&lt;&gt;"",CA6&lt;&gt;""),CA6-BZ6,IF(AND(BZ6&lt;&gt;"",CA6=""),0-BZ6,IF(CA6&lt;&gt;"",CA6,"")))</f>
        <v>1000</v>
      </c>
      <c r="CD6" s="71">
        <f t="shared" si="12"/>
        <v>8865.84</v>
      </c>
      <c r="CE6" s="104">
        <f ca="1">IF(CD6&lt;&gt;"",RANK(CD6,CD$5:INDIRECT(CE$1,TRUE)),"")</f>
        <v>2</v>
      </c>
      <c r="CF6" s="111">
        <f>IF(AND('Raw Data'!Z4&lt;&gt;"",'Raw Data'!Z4&lt;&gt;0),ROUNDDOWN('Raw Data'!Z4,Title!$M$1),"")</f>
        <v>54.07</v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  <v>909.74</v>
      </c>
      <c r="CI6" s="51">
        <f ca="1">IF(OR(CF6&lt;&gt;"",CG6&lt;&gt;""),RANK(CJ6,CJ$5:INDIRECT(CI$1,TRUE)),"")</f>
        <v>3</v>
      </c>
      <c r="CJ6" s="71">
        <f aca="true" t="shared" si="35" ref="CJ6:CJ30">IF(AND(CG6&lt;&gt;"",CH6&lt;&gt;""),CH6-CG6,IF(AND(CG6&lt;&gt;"",CH6=""),0-CG6,IF(CH6&lt;&gt;"",CH6,"")))</f>
        <v>909.74</v>
      </c>
      <c r="CK6" s="71">
        <f t="shared" si="13"/>
        <v>9775.58</v>
      </c>
      <c r="CL6" s="104">
        <f ca="1">IF(CK6&lt;&gt;"",RANK(CK6,CK$5:INDIRECT(CL$1,TRUE)),"")</f>
        <v>2</v>
      </c>
      <c r="CM6" s="111">
        <f>IF(AND('Raw Data'!AB4&lt;&gt;"",'Raw Data'!AB4&lt;&gt;0),ROUNDDOWN('Raw Data'!AB4,Title!$M$1),"")</f>
        <v>45.72</v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  <v>993.87</v>
      </c>
      <c r="CP6" s="51">
        <f ca="1">IF(OR(CM6&lt;&gt;"",CN6&lt;&gt;""),RANK(CQ6,CQ$5:INDIRECT(CP$1,TRUE)),"")</f>
        <v>2</v>
      </c>
      <c r="CQ6" s="71">
        <f aca="true" t="shared" si="36" ref="CQ6:CQ30">IF(AND(CN6&lt;&gt;"",CO6&lt;&gt;""),CO6-CN6,IF(AND(CN6&lt;&gt;"",CO6=""),0-CN6,IF(CO6&lt;&gt;"",CO6,"")))</f>
        <v>993.87</v>
      </c>
      <c r="CR6" s="71">
        <f t="shared" si="14"/>
        <v>10769.45</v>
      </c>
      <c r="CS6" s="104">
        <f ca="1">IF(CR6&lt;&gt;"",RANK(CR6,CR$5:INDIRECT(CS$1,TRUE)),"")</f>
        <v>2</v>
      </c>
      <c r="CT6" s="111">
        <f>IF(AND('Raw Data'!AD4&lt;&gt;"",'Raw Data'!AD4&lt;&gt;0),ROUNDDOWN('Raw Data'!AD4,Title!$M$1),"")</f>
        <v>49.85</v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  <v>878.43</v>
      </c>
      <c r="CW6" s="51">
        <f ca="1">IF(OR(CT6&lt;&gt;"",CU6&lt;&gt;""),RANK(CX6,CX$5:INDIRECT(CW$1,TRUE)),"")</f>
        <v>3</v>
      </c>
      <c r="CX6" s="71">
        <f aca="true" t="shared" si="37" ref="CX6:CX30">IF(AND(CU6&lt;&gt;"",CV6&lt;&gt;""),CV6-CU6,IF(AND(CU6&lt;&gt;"",CV6=""),0-CU6,IF(CV6&lt;&gt;"",CV6,"")))</f>
        <v>878.43</v>
      </c>
      <c r="CY6" s="71">
        <f t="shared" si="15"/>
        <v>11647.88</v>
      </c>
      <c r="CZ6" s="104">
        <f ca="1">IF(CY6&lt;&gt;"",RANK(CY6,CY$5:INDIRECT(CZ$1,TRUE)),"")</f>
        <v>2</v>
      </c>
      <c r="DA6" s="111">
        <f>IF(AND('Raw Data'!AF4&lt;&gt;"",'Raw Data'!AF4&lt;&gt;0),ROUNDDOWN('Raw Data'!AF4,Title!$M$1),"")</f>
        <v>54.82</v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  <v>762.86</v>
      </c>
      <c r="DD6" s="51">
        <f ca="1">IF(OR(DA6&lt;&gt;"",DB6&lt;&gt;""),RANK(DE6,DE$5:INDIRECT(DD$1,TRUE)),"")</f>
        <v>6</v>
      </c>
      <c r="DE6" s="71">
        <f aca="true" t="shared" si="38" ref="DE6:DE30">IF(AND(DB6&lt;&gt;"",DC6&lt;&gt;""),DC6-DB6,IF(AND(DB6&lt;&gt;"",DC6=""),0-DB6,IF(DC6&lt;&gt;"",DC6,"")))</f>
        <v>762.86</v>
      </c>
      <c r="DF6" s="71">
        <f t="shared" si="16"/>
        <v>11699.55</v>
      </c>
      <c r="DG6" s="104">
        <f ca="1">IF(DF6&lt;&gt;"",RANK(DF6,DF$5:INDIRECT(DG$1,TRUE)),"")</f>
        <v>2</v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0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0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0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0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0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0">ADDRESS(ROW(),COLUMN()+1,1,TRUE)&amp;":"&amp;ADDRESS(ROW(),COLUMN()+$C$2,1,TRUE)</f>
        <v>$ER$6:$FF$6</v>
      </c>
      <c r="ER6" s="71">
        <f aca="true" t="shared" si="45" ref="ER6:ER30">SUM(I6)</f>
        <v>973.4</v>
      </c>
      <c r="ES6" s="71">
        <f aca="true" t="shared" si="46" ref="ES6:ES30">SUM(P6)</f>
        <v>851.58</v>
      </c>
      <c r="ET6" s="71">
        <f aca="true" t="shared" si="47" ref="ET6:ET30">SUM(W6)</f>
        <v>724.44</v>
      </c>
      <c r="EU6" s="71">
        <f aca="true" t="shared" si="48" ref="EU6:EU30">SUM(AD6)</f>
        <v>998.84</v>
      </c>
      <c r="EV6" s="71">
        <f aca="true" t="shared" si="49" ref="EV6:EV30">SUM(AK6)</f>
        <v>853.6</v>
      </c>
      <c r="EW6" s="71">
        <f aca="true" t="shared" si="50" ref="EW6:EW30">SUM(AR6)</f>
        <v>710.89</v>
      </c>
      <c r="EX6" s="71">
        <f aca="true" t="shared" si="51" ref="EX6:EX30">SUM(AY6)</f>
        <v>958.37</v>
      </c>
      <c r="EY6" s="71">
        <f aca="true" t="shared" si="52" ref="EY6:EY30">SUM(BF6)</f>
        <v>914.17</v>
      </c>
      <c r="EZ6" s="71">
        <f aca="true" t="shared" si="53" ref="EZ6:EZ30">SUM(BM6)</f>
        <v>711.19</v>
      </c>
      <c r="FA6" s="71">
        <f aca="true" t="shared" si="54" ref="FA6:FA30">SUM(BT6)</f>
        <v>880.25</v>
      </c>
      <c r="FB6" s="71">
        <f aca="true" t="shared" si="55" ref="FB6:FB30">SUM(CA6)</f>
        <v>1000</v>
      </c>
      <c r="FC6" s="71">
        <f aca="true" t="shared" si="56" ref="FC6:FC30">SUM(CH6)</f>
        <v>909.74</v>
      </c>
      <c r="FD6" s="71">
        <f aca="true" t="shared" si="57" ref="FD6:FD30">SUM(CO6)</f>
        <v>993.87</v>
      </c>
      <c r="FE6" s="71">
        <f aca="true" t="shared" si="58" ref="FE6:FE30">SUM(CV6)</f>
        <v>878.43</v>
      </c>
      <c r="FF6" s="71">
        <f aca="true" t="shared" si="59" ref="FF6:FF30">SUM(DC6)</f>
        <v>762.86</v>
      </c>
      <c r="FG6" s="71">
        <f aca="true" t="shared" si="60" ref="FG6:FG30">SUM(DJ6)</f>
        <v>0</v>
      </c>
      <c r="FH6" s="71">
        <f aca="true" t="shared" si="61" ref="FH6:FH30">SUM(DQ6)</f>
        <v>0</v>
      </c>
      <c r="FI6" s="71">
        <f aca="true" t="shared" si="62" ref="FI6:FI30">SUM(DX6)</f>
        <v>0</v>
      </c>
      <c r="FJ6" s="71">
        <f aca="true" t="shared" si="63" ref="FJ6:FJ30">SUM(EE6)</f>
        <v>0</v>
      </c>
      <c r="FK6" s="71">
        <f aca="true" t="shared" si="64" ref="FK6:FK30">SUM(EL6)</f>
        <v>0</v>
      </c>
      <c r="FL6" s="51" t="str">
        <f aca="true" t="shared" si="65" ref="FL6:FL30">ADDRESS(ROW(),COLUMN()+1,1,TRUE)&amp;":"&amp;ADDRESS(ROW(),COLUMN()+$C$2,1,TRUE)</f>
        <v>$FM$6:$GA$6</v>
      </c>
      <c r="FM6" s="72">
        <f aca="true" t="shared" si="66" ref="FM6:FM30">IF(H6&lt;&gt;"",0-H6,0)</f>
        <v>0</v>
      </c>
      <c r="FN6" s="51">
        <f aca="true" t="shared" si="67" ref="FN6:FN30">IF(O6&lt;&gt;"",0-O6,0)</f>
        <v>0</v>
      </c>
      <c r="FO6" s="51">
        <f aca="true" t="shared" si="68" ref="FO6:FO30">IF(V6&lt;&gt;"",0-V6,0)</f>
        <v>0</v>
      </c>
      <c r="FP6" s="51">
        <f aca="true" t="shared" si="69" ref="FP6:FP30">IF(AC6&lt;&gt;"",0-AC6,0)</f>
        <v>0</v>
      </c>
      <c r="FQ6" s="51">
        <f aca="true" t="shared" si="70" ref="FQ6:FQ30">IF(AJ6&lt;&gt;"",0-AJ6,0)</f>
        <v>0</v>
      </c>
      <c r="FR6" s="51">
        <f aca="true" t="shared" si="71" ref="FR6:FR30">IF(AQ6&lt;&gt;"",0-AQ6,0)</f>
        <v>0</v>
      </c>
      <c r="FS6" s="51">
        <f aca="true" t="shared" si="72" ref="FS6:FS30">IF(AX6&lt;&gt;"",0-AX6,0)</f>
        <v>0</v>
      </c>
      <c r="FT6" s="51">
        <f aca="true" t="shared" si="73" ref="FT6:FT30">IF(BE6&lt;&gt;"",0-BE6,0)</f>
        <v>0</v>
      </c>
      <c r="FU6" s="51">
        <f aca="true" t="shared" si="74" ref="FU6:FU30">IF(BL6&lt;&gt;"",0-BL6,0)</f>
        <v>0</v>
      </c>
      <c r="FV6" s="51">
        <f aca="true" t="shared" si="75" ref="FV6:FV30">IF(BS6&lt;&gt;"",0-BS6,0)</f>
        <v>0</v>
      </c>
      <c r="FW6" s="51">
        <f aca="true" t="shared" si="76" ref="FW6:FW30">IF(BZ6&lt;&gt;"",0-BZ6,0)</f>
        <v>0</v>
      </c>
      <c r="FX6" s="51">
        <f aca="true" t="shared" si="77" ref="FX6:FX30">IF(CG6&lt;&gt;"",0-CG6,0)</f>
        <v>0</v>
      </c>
      <c r="FY6" s="51">
        <f aca="true" t="shared" si="78" ref="FY6:FY30">IF(CN6&lt;&gt;"",0-CN6,0)</f>
        <v>0</v>
      </c>
      <c r="FZ6" s="51">
        <f aca="true" t="shared" si="79" ref="FZ6:FZ30">IF(CU6&lt;&gt;"",0-CU6,0)</f>
        <v>0</v>
      </c>
      <c r="GA6" s="51">
        <f aca="true" t="shared" si="80" ref="GA6:GA30">IF(DB6&lt;&gt;"",0-DB6,0)</f>
        <v>0</v>
      </c>
      <c r="GB6" s="51">
        <f aca="true" t="shared" si="81" ref="GB6:GB30">IF(DI6&lt;&gt;"",0-DI6,0)</f>
        <v>0</v>
      </c>
      <c r="GC6" s="51">
        <f aca="true" t="shared" si="82" ref="GC6:GC30">IF(DP6&lt;&gt;"",0-DP6,0)</f>
        <v>0</v>
      </c>
      <c r="GD6" s="51">
        <f aca="true" t="shared" si="83" ref="GD6:GD30">IF(DW6&lt;&gt;"",0-DW6,0)</f>
        <v>0</v>
      </c>
      <c r="GE6" s="51">
        <f aca="true" t="shared" si="84" ref="GE6:GE30">IF(ED6&lt;&gt;"",0-ED6,0)</f>
        <v>0</v>
      </c>
      <c r="GF6" s="51">
        <f aca="true" t="shared" si="85" ref="GF6:GF30">IF(EK6&lt;&gt;"",0-EK6,0)</f>
        <v>0</v>
      </c>
      <c r="GG6" s="51" t="str">
        <f aca="true" t="shared" si="86" ref="GG6:GG30">ADDRESS(ROW(),COLUMN()+$C$2,4,1)</f>
        <v>GV6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724.44</v>
      </c>
      <c r="GL6" s="71">
        <f>GetDiscardScore($ER6:EV6,GL$1)</f>
        <v>724.44</v>
      </c>
      <c r="GM6" s="71">
        <f>GetDiscardScore($ER6:EW6,GM$1)</f>
        <v>710.89</v>
      </c>
      <c r="GN6" s="71">
        <f>GetDiscardScore($ER6:EX6,GN$1)</f>
        <v>710.89</v>
      </c>
      <c r="GO6" s="71">
        <f>GetDiscardScore($ER6:EY6,GO$1)</f>
        <v>710.89</v>
      </c>
      <c r="GP6" s="71">
        <f>GetDiscardScore($ER6:EZ6,GP$1)</f>
        <v>710.89</v>
      </c>
      <c r="GQ6" s="71">
        <f>GetDiscardScore($ER6:FA6,GQ$1)</f>
        <v>710.89</v>
      </c>
      <c r="GR6" s="71">
        <f>GetDiscardScore($ER6:FB6,GR$1)</f>
        <v>710.89</v>
      </c>
      <c r="GS6" s="71">
        <f>GetDiscardScore($ER6:FC6,GS$1)</f>
        <v>710.89</v>
      </c>
      <c r="GT6" s="71">
        <f>GetDiscardScore($ER6:FD6,GT$1)</f>
        <v>710.89</v>
      </c>
      <c r="GU6" s="71">
        <f>GetDiscardScore($ER6:FE6,GU$1)</f>
        <v>710.89</v>
      </c>
      <c r="GV6" s="71">
        <f>GetDiscardScore($ER6:FF6,GV$1)</f>
        <v>1422.08</v>
      </c>
      <c r="GW6" s="71">
        <f>GetDiscardScore($ER6:FG6,GW$1)</f>
        <v>710.89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0">IF(AND($C$2&gt;0,B6&lt;&gt;""),ROUND(SUM(INDIRECT(EQ6))+SUM(INDIRECT(FL6))-SUM(INDIRECT(GG6)),2),"")</f>
        <v>11699.55</v>
      </c>
      <c r="HC6" s="72">
        <f ca="1">IF(HB6&lt;&gt;"",RANK(HB6,HB$5:INDIRECT(HC$1,TRUE),0),"")</f>
        <v>2</v>
      </c>
      <c r="HD6" s="70" t="str">
        <f aca="true" ca="1" t="shared" si="88" ref="HD6:HD30">IF(HB6&lt;&gt;"",GetDiscardRounds(INDIRECT(EQ6),INDIRECT($GG$1)),"")</f>
        <v>6,9</v>
      </c>
    </row>
    <row r="7" spans="1:212" s="51" customFormat="1" ht="11.25">
      <c r="A7" s="41">
        <v>3</v>
      </c>
      <c r="B7" s="41" t="str">
        <f>IF('Raw Data'!B5&lt;&gt;"",'Raw Data'!B5,"")</f>
        <v>Brian Johnson</v>
      </c>
      <c r="C7" s="51">
        <f>IF('Raw Data'!C5&lt;&gt;"",'Raw Data'!C5,"")</f>
        <v>0</v>
      </c>
      <c r="D7" s="42">
        <f t="shared" si="22"/>
        <v>0</v>
      </c>
      <c r="E7" s="69">
        <f t="shared" si="23"/>
        <v>11</v>
      </c>
      <c r="F7" s="99" t="str">
        <f t="shared" si="0"/>
        <v>1,2</v>
      </c>
      <c r="G7" s="111">
        <f>IF(AND('Raw Data'!D5&lt;&gt;"",'Raw Data'!D5&lt;&gt;0),ROUNDDOWN('Raw Data'!D5,Title!$M$1),"")</f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</c>
      <c r="J7" s="51">
        <f ca="1">IF(K7&lt;&gt;0,RANK(K7,K$5:INDIRECT(J$1,TRUE)),"")</f>
      </c>
      <c r="K7" s="71">
        <f t="shared" si="1"/>
        <v>0</v>
      </c>
      <c r="L7" s="71">
        <f t="shared" si="2"/>
        <v>0</v>
      </c>
      <c r="M7" s="104">
        <f ca="1">IF(L7&lt;&gt;"",RANK(L7,L$5:INDIRECT(M$1,TRUE)),"")</f>
        <v>8</v>
      </c>
      <c r="N7" s="111">
        <f>IF(AND('Raw Data'!F5&lt;&gt;"",'Raw Data'!F5&lt;&gt;0),ROUNDDOWN('Raw Data'!F5,Title!$M$1),"")</f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</c>
      <c r="Q7" s="51">
        <f ca="1">IF(OR(N7&lt;&gt;"",O7&lt;&gt;""),RANK(R7,R$5:INDIRECT(Q$1,TRUE)),"")</f>
      </c>
      <c r="R7" s="71">
        <f t="shared" si="24"/>
      </c>
      <c r="S7" s="71">
        <f t="shared" si="3"/>
        <v>0</v>
      </c>
      <c r="T7" s="104">
        <f ca="1">IF(S7&lt;&gt;"",RANK(S7,S$5:INDIRECT(T$1,TRUE)),"")</f>
        <v>8</v>
      </c>
      <c r="U7" s="111">
        <f>IF(AND('Raw Data'!H5&lt;&gt;"",'Raw Data'!H5&lt;&gt;0),ROUNDDOWN('Raw Data'!H5,Title!$M$1),"")</f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</c>
      <c r="X7" s="51">
        <f ca="1">IF(OR(U7&lt;&gt;"",V7&lt;&gt;""),RANK(Y7,Y$5:INDIRECT(X$1,TRUE)),"")</f>
      </c>
      <c r="Y7" s="71">
        <f t="shared" si="25"/>
      </c>
      <c r="Z7" s="71">
        <f t="shared" si="4"/>
        <v>0</v>
      </c>
      <c r="AA7" s="104">
        <f ca="1">IF(Z7&lt;&gt;"",RANK(Z7,Z$5:INDIRECT(AA$1,TRUE)),"")</f>
        <v>8</v>
      </c>
      <c r="AB7" s="111">
        <f>IF(AND('Raw Data'!J5&lt;&gt;"",'Raw Data'!J5&lt;&gt;0),ROUNDDOWN('Raw Data'!J5,Title!$M$1),"")</f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</c>
      <c r="AE7" s="51">
        <f ca="1">IF(OR(AB7&lt;&gt;"",AC7&lt;&gt;""),RANK(AF7,AF$5:INDIRECT(AE$1,TRUE)),"")</f>
      </c>
      <c r="AF7" s="71">
        <f t="shared" si="26"/>
      </c>
      <c r="AG7" s="71">
        <f t="shared" si="5"/>
        <v>0</v>
      </c>
      <c r="AH7" s="104">
        <f ca="1">IF(AG7&lt;&gt;"",RANK(AG7,AG$5:INDIRECT(AH$1,TRUE)),"")</f>
        <v>8</v>
      </c>
      <c r="AI7" s="111">
        <f>IF(AND('Raw Data'!L5&lt;&gt;"",'Raw Data'!L5&lt;&gt;0),ROUNDDOWN('Raw Data'!L5,Title!$M$1),"")</f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</c>
      <c r="AL7" s="51">
        <f ca="1">IF(OR(AI7&lt;&gt;"",AJ7&lt;&gt;""),RANK(AM7,AM$5:INDIRECT(AL$1,TRUE)),"")</f>
      </c>
      <c r="AM7" s="71">
        <f t="shared" si="27"/>
      </c>
      <c r="AN7" s="71">
        <f t="shared" si="6"/>
        <v>0</v>
      </c>
      <c r="AO7" s="104">
        <f ca="1">IF(AN7&lt;&gt;"",RANK(AN7,AN$5:INDIRECT(AO$1,TRUE)),"")</f>
        <v>8</v>
      </c>
      <c r="AP7" s="111">
        <f>IF(AND('Raw Data'!N5&lt;&gt;"",'Raw Data'!N5&lt;&gt;0),ROUNDDOWN('Raw Data'!N5,Title!$M$1),"")</f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</c>
      <c r="AS7" s="51">
        <f ca="1">IF(OR(AP7&lt;&gt;"",AQ7&lt;&gt;""),RANK(AT7,AT$5:INDIRECT(AS$1,TRUE)),"")</f>
      </c>
      <c r="AT7" s="71">
        <f t="shared" si="28"/>
      </c>
      <c r="AU7" s="71">
        <f t="shared" si="7"/>
        <v>0</v>
      </c>
      <c r="AV7" s="104">
        <f ca="1">IF(AU7&lt;&gt;"",RANK(AU7,AU$5:INDIRECT(AV$1,TRUE)),"")</f>
        <v>8</v>
      </c>
      <c r="AW7" s="111">
        <f>IF(AND('Raw Data'!P5&lt;&gt;"",'Raw Data'!P5&lt;&gt;0),ROUNDDOWN('Raw Data'!P5,Title!$M$1),"")</f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</c>
      <c r="AZ7" s="51">
        <f ca="1">IF(OR(AW7&lt;&gt;"",AX7&lt;&gt;""),RANK(BA7,BA$5:INDIRECT(AZ$1,TRUE)),"")</f>
      </c>
      <c r="BA7" s="71">
        <f t="shared" si="29"/>
      </c>
      <c r="BB7" s="71">
        <f t="shared" si="8"/>
        <v>0</v>
      </c>
      <c r="BC7" s="104">
        <f ca="1">IF(BB7&lt;&gt;"",RANK(BB7,BB$5:INDIRECT(BC$1,TRUE)),"")</f>
        <v>8</v>
      </c>
      <c r="BD7" s="111">
        <f>IF(AND('Raw Data'!R5&lt;&gt;"",'Raw Data'!R5&lt;&gt;0),ROUNDDOWN('Raw Data'!R5,Title!$M$1),"")</f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</c>
      <c r="BG7" s="51">
        <f ca="1">IF(OR(BD7&lt;&gt;"",BE7&lt;&gt;""),RANK(BH7,BH$5:INDIRECT(BG$1,TRUE)),"")</f>
      </c>
      <c r="BH7" s="71">
        <f t="shared" si="30"/>
      </c>
      <c r="BI7" s="71">
        <f t="shared" si="9"/>
        <v>0</v>
      </c>
      <c r="BJ7" s="104">
        <f ca="1">IF(BI7&lt;&gt;"",RANK(BI7,BI$5:INDIRECT(BJ$1,TRUE)),"")</f>
        <v>8</v>
      </c>
      <c r="BK7" s="111">
        <f>IF(AND('Raw Data'!T5&lt;&gt;"",'Raw Data'!T5&lt;&gt;0),ROUNDDOWN('Raw Data'!T5,Title!$M$1),"")</f>
      </c>
      <c r="BL7" s="109">
        <f>IF(AND('Raw Data'!U5&lt;&gt;"",'Raw Data'!U5&lt;&gt;0),'Raw Data'!U5,"")</f>
      </c>
      <c r="BM7" s="97">
        <f t="shared" si="31"/>
      </c>
      <c r="BN7" s="51">
        <f ca="1">IF(OR(BK7&lt;&gt;"",BL7&lt;&gt;""),RANK(BO7,BO$5:INDIRECT(BN$1,TRUE)),"")</f>
      </c>
      <c r="BO7" s="71">
        <f t="shared" si="32"/>
      </c>
      <c r="BP7" s="71">
        <f t="shared" si="10"/>
        <v>0</v>
      </c>
      <c r="BQ7" s="104">
        <f ca="1">IF(BP7&lt;&gt;"",RANK(BP7,BP$5:INDIRECT(BQ$1,TRUE)),"")</f>
        <v>8</v>
      </c>
      <c r="BR7" s="111">
        <f>IF(AND('Raw Data'!V5&lt;&gt;"",'Raw Data'!V5&lt;&gt;0),ROUNDDOWN('Raw Data'!V5,Title!$M$1),"")</f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</c>
      <c r="BU7" s="51">
        <f ca="1">IF(OR(BR7&lt;&gt;"",BS7&lt;&gt;""),RANK(BV7,BV$5:INDIRECT(BU$1,TRUE)),"")</f>
      </c>
      <c r="BV7" s="71">
        <f t="shared" si="33"/>
      </c>
      <c r="BW7" s="71">
        <f t="shared" si="11"/>
        <v>0</v>
      </c>
      <c r="BX7" s="104">
        <f ca="1">IF(BW7&lt;&gt;"",RANK(BW7,BW$5:INDIRECT(BX$1,TRUE)),"")</f>
        <v>8</v>
      </c>
      <c r="BY7" s="111">
        <f>IF(AND('Raw Data'!X5&lt;&gt;"",'Raw Data'!X5&lt;&gt;0),ROUNDDOWN('Raw Data'!X5,Title!$M$1),"")</f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</c>
      <c r="CB7" s="51">
        <f ca="1">IF(OR(BY7&lt;&gt;"",BZ7&lt;&gt;""),RANK(CC7,CC$5:INDIRECT(CB$1,TRUE)),"")</f>
      </c>
      <c r="CC7" s="71">
        <f t="shared" si="34"/>
      </c>
      <c r="CD7" s="71">
        <f t="shared" si="12"/>
        <v>0</v>
      </c>
      <c r="CE7" s="104">
        <f ca="1">IF(CD7&lt;&gt;"",RANK(CD7,CD$5:INDIRECT(CE$1,TRUE)),"")</f>
        <v>8</v>
      </c>
      <c r="CF7" s="111">
        <f>IF(AND('Raw Data'!Z5&lt;&gt;"",'Raw Data'!Z5&lt;&gt;0),ROUNDDOWN('Raw Data'!Z5,Title!$M$1),"")</f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</c>
      <c r="CI7" s="51">
        <f ca="1">IF(OR(CF7&lt;&gt;"",CG7&lt;&gt;""),RANK(CJ7,CJ$5:INDIRECT(CI$1,TRUE)),"")</f>
      </c>
      <c r="CJ7" s="71">
        <f t="shared" si="35"/>
      </c>
      <c r="CK7" s="71">
        <f t="shared" si="13"/>
        <v>0</v>
      </c>
      <c r="CL7" s="104">
        <f ca="1">IF(CK7&lt;&gt;"",RANK(CK7,CK$5:INDIRECT(CL$1,TRUE)),"")</f>
        <v>8</v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36"/>
      </c>
      <c r="CR7" s="71">
        <f t="shared" si="14"/>
        <v>0</v>
      </c>
      <c r="CS7" s="104">
        <f ca="1">IF(CR7&lt;&gt;"",RANK(CR7,CR$5:INDIRECT(CS$1,TRUE)),"")</f>
        <v>8</v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37"/>
      </c>
      <c r="CY7" s="71">
        <f t="shared" si="15"/>
        <v>0</v>
      </c>
      <c r="CZ7" s="104">
        <f ca="1">IF(CY7&lt;&gt;"",RANK(CY7,CY$5:INDIRECT(CZ$1,TRUE)),"")</f>
        <v>8</v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38"/>
      </c>
      <c r="DF7" s="71">
        <f t="shared" si="16"/>
        <v>0</v>
      </c>
      <c r="DG7" s="104">
        <f ca="1">IF(DF7&lt;&gt;"",RANK(DF7,DF$5:INDIRECT(DG$1,TRUE)),"")</f>
        <v>8</v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$ER$7:$FF$7</v>
      </c>
      <c r="ER7" s="71">
        <f t="shared" si="45"/>
        <v>0</v>
      </c>
      <c r="ES7" s="71">
        <f t="shared" si="46"/>
        <v>0</v>
      </c>
      <c r="ET7" s="71">
        <f t="shared" si="47"/>
        <v>0</v>
      </c>
      <c r="EU7" s="71">
        <f t="shared" si="48"/>
        <v>0</v>
      </c>
      <c r="EV7" s="71">
        <f t="shared" si="49"/>
        <v>0</v>
      </c>
      <c r="EW7" s="71">
        <f t="shared" si="50"/>
        <v>0</v>
      </c>
      <c r="EX7" s="71">
        <f t="shared" si="51"/>
        <v>0</v>
      </c>
      <c r="EY7" s="71">
        <f t="shared" si="52"/>
        <v>0</v>
      </c>
      <c r="EZ7" s="71">
        <f t="shared" si="53"/>
        <v>0</v>
      </c>
      <c r="FA7" s="71">
        <f t="shared" si="54"/>
        <v>0</v>
      </c>
      <c r="FB7" s="71">
        <f t="shared" si="55"/>
        <v>0</v>
      </c>
      <c r="FC7" s="71">
        <f t="shared" si="56"/>
        <v>0</v>
      </c>
      <c r="FD7" s="71">
        <f t="shared" si="57"/>
        <v>0</v>
      </c>
      <c r="FE7" s="71">
        <f t="shared" si="58"/>
        <v>0</v>
      </c>
      <c r="FF7" s="71">
        <f t="shared" si="59"/>
        <v>0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$FM$7:$GA$7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GV7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0</v>
      </c>
      <c r="GL7" s="71">
        <f>GetDiscardScore($ER7:EV7,GL$1)</f>
        <v>0</v>
      </c>
      <c r="GM7" s="71">
        <f>GetDiscardScore($ER7:EW7,GM$1)</f>
        <v>0</v>
      </c>
      <c r="GN7" s="71">
        <f>GetDiscardScore($ER7:EX7,GN$1)</f>
        <v>0</v>
      </c>
      <c r="GO7" s="71">
        <f>GetDiscardScore($ER7:EY7,GO$1)</f>
        <v>0</v>
      </c>
      <c r="GP7" s="71">
        <f>GetDiscardScore($ER7:EZ7,GP$1)</f>
        <v>0</v>
      </c>
      <c r="GQ7" s="71">
        <f>GetDiscardScore($ER7:FA7,GQ$1)</f>
        <v>0</v>
      </c>
      <c r="GR7" s="71">
        <f>GetDiscardScore($ER7:FB7,GR$1)</f>
        <v>0</v>
      </c>
      <c r="GS7" s="71">
        <f>GetDiscardScore($ER7:FC7,GS$1)</f>
        <v>0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0</v>
      </c>
      <c r="HC7" s="72">
        <f ca="1">IF(HB7&lt;&gt;"",RANK(HB7,HB$5:INDIRECT(HC$1,TRUE),0),"")</f>
        <v>11</v>
      </c>
      <c r="HD7" s="70" t="str">
        <f ca="1" t="shared" si="88"/>
        <v>1,2</v>
      </c>
    </row>
    <row r="8" spans="1:212" s="74" customFormat="1" ht="11.25">
      <c r="A8" s="39">
        <v>4</v>
      </c>
      <c r="B8" s="39" t="str">
        <f>IF('Raw Data'!B6&lt;&gt;"",'Raw Data'!B6,"")</f>
        <v>Jon Edison</v>
      </c>
      <c r="C8" s="74">
        <f>IF('Raw Data'!C6&lt;&gt;"",'Raw Data'!C6,"")</f>
        <v>0</v>
      </c>
      <c r="D8" s="40">
        <f t="shared" si="22"/>
        <v>9250.53</v>
      </c>
      <c r="E8" s="75">
        <f t="shared" si="23"/>
        <v>6</v>
      </c>
      <c r="F8" s="100" t="str">
        <f t="shared" si="0"/>
        <v>11,10</v>
      </c>
      <c r="G8" s="114">
        <f>IF(AND('Raw Data'!D6&lt;&gt;"",'Raw Data'!D6&lt;&gt;0),ROUNDDOWN('Raw Data'!D6,Title!$M$1),"")</f>
        <v>42.47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896.16</v>
      </c>
      <c r="J8" s="74">
        <f ca="1">IF(K8&lt;&gt;0,RANK(K8,K$5:INDIRECT(J$1,TRUE)),"")</f>
        <v>4</v>
      </c>
      <c r="K8" s="77">
        <f t="shared" si="1"/>
        <v>896.16</v>
      </c>
      <c r="L8" s="77">
        <f t="shared" si="2"/>
        <v>896.16</v>
      </c>
      <c r="M8" s="105">
        <f ca="1">IF(L8&lt;&gt;"",RANK(L8,L$5:INDIRECT(M$1,TRUE)),"")</f>
        <v>4</v>
      </c>
      <c r="N8" s="114">
        <f>IF(AND('Raw Data'!F6&lt;&gt;"",'Raw Data'!F6&lt;&gt;0),ROUNDDOWN('Raw Data'!F6,Title!$M$1),"")</f>
        <v>48.83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703.87</v>
      </c>
      <c r="Q8" s="74">
        <f ca="1">IF(OR(N8&lt;&gt;"",O8&lt;&gt;""),RANK(R8,R$5:INDIRECT(Q$1,TRUE)),"")</f>
        <v>5</v>
      </c>
      <c r="R8" s="77">
        <f t="shared" si="24"/>
        <v>703.87</v>
      </c>
      <c r="S8" s="77">
        <f t="shared" si="3"/>
        <v>1600.03</v>
      </c>
      <c r="T8" s="105">
        <f ca="1">IF(S8&lt;&gt;"",RANK(S8,S$5:INDIRECT(T$1,TRUE)),"")</f>
        <v>5</v>
      </c>
      <c r="U8" s="114">
        <f>IF(AND('Raw Data'!H6&lt;&gt;"",'Raw Data'!H6&lt;&gt;0),ROUNDDOWN('Raw Data'!H6,Title!$M$1),"")</f>
        <v>48.74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731.43</v>
      </c>
      <c r="X8" s="74">
        <f ca="1">IF(OR(U8&lt;&gt;"",V8&lt;&gt;""),RANK(Y8,Y$5:INDIRECT(X$1,TRUE)),"")</f>
        <v>5</v>
      </c>
      <c r="Y8" s="77">
        <f t="shared" si="25"/>
        <v>731.43</v>
      </c>
      <c r="Z8" s="77">
        <f t="shared" si="4"/>
        <v>2331.46</v>
      </c>
      <c r="AA8" s="105">
        <f ca="1">IF(Z8&lt;&gt;"",RANK(Z8,Z$5:INDIRECT(AA$1,TRUE)),"")</f>
        <v>5</v>
      </c>
      <c r="AB8" s="114">
        <f>IF(AND('Raw Data'!J6&lt;&gt;"",'Raw Data'!J6&lt;&gt;0),ROUNDDOWN('Raw Data'!J6,Title!$M$1),"")</f>
        <v>52.66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658.56</v>
      </c>
      <c r="AE8" s="74">
        <f ca="1">IF(OR(AB8&lt;&gt;"",AC8&lt;&gt;""),RANK(AF8,AF$5:INDIRECT(AE$1,TRUE)),"")</f>
        <v>7</v>
      </c>
      <c r="AF8" s="77">
        <f t="shared" si="26"/>
        <v>658.56</v>
      </c>
      <c r="AG8" s="77">
        <f t="shared" si="5"/>
        <v>2331.46</v>
      </c>
      <c r="AH8" s="105">
        <f ca="1">IF(AG8&lt;&gt;"",RANK(AG8,AG$5:INDIRECT(AH$1,TRUE)),"")</f>
        <v>5</v>
      </c>
      <c r="AI8" s="114">
        <f>IF(AND('Raw Data'!L6&lt;&gt;"",'Raw Data'!L6&lt;&gt;0),ROUNDDOWN('Raw Data'!L6,Title!$M$1),"")</f>
        <v>47.58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833.33</v>
      </c>
      <c r="AL8" s="74">
        <f ca="1">IF(OR(AI8&lt;&gt;"",AJ8&lt;&gt;""),RANK(AM8,AM$5:INDIRECT(AL$1,TRUE)),"")</f>
        <v>5</v>
      </c>
      <c r="AM8" s="77">
        <f t="shared" si="27"/>
        <v>833.33</v>
      </c>
      <c r="AN8" s="77">
        <f t="shared" si="6"/>
        <v>3164.79</v>
      </c>
      <c r="AO8" s="105">
        <f ca="1">IF(AN8&lt;&gt;"",RANK(AN8,AN$5:INDIRECT(AO$1,TRUE)),"")</f>
        <v>6</v>
      </c>
      <c r="AP8" s="114">
        <f>IF(AND('Raw Data'!N6&lt;&gt;"",'Raw Data'!N6&lt;&gt;0),ROUNDDOWN('Raw Data'!N6,Title!$M$1),"")</f>
        <v>55.82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644.03</v>
      </c>
      <c r="AS8" s="74">
        <f ca="1">IF(OR(AP8&lt;&gt;"",AQ8&lt;&gt;""),RANK(AT8,AT$5:INDIRECT(AS$1,TRUE)),"")</f>
        <v>6</v>
      </c>
      <c r="AT8" s="77">
        <f t="shared" si="28"/>
        <v>644.03</v>
      </c>
      <c r="AU8" s="77">
        <f t="shared" si="7"/>
        <v>3823.35</v>
      </c>
      <c r="AV8" s="105">
        <f ca="1">IF(AU8&lt;&gt;"",RANK(AU8,AU$5:INDIRECT(AV$1,TRUE)),"")</f>
        <v>6</v>
      </c>
      <c r="AW8" s="114">
        <f>IF(AND('Raw Data'!P6&lt;&gt;"",'Raw Data'!P6&lt;&gt;0),ROUNDDOWN('Raw Data'!P6,Title!$M$1),"")</f>
        <v>64.4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686.49</v>
      </c>
      <c r="AZ8" s="74">
        <f ca="1">IF(OR(AW8&lt;&gt;"",AX8&lt;&gt;""),RANK(BA8,BA$5:INDIRECT(AZ$1,TRUE)),"")</f>
        <v>6</v>
      </c>
      <c r="BA8" s="77">
        <f t="shared" si="29"/>
        <v>686.49</v>
      </c>
      <c r="BB8" s="77">
        <f t="shared" si="8"/>
        <v>4509.84</v>
      </c>
      <c r="BC8" s="105">
        <f ca="1">IF(BB8&lt;&gt;"",RANK(BB8,BB$5:INDIRECT(BC$1,TRUE)),"")</f>
        <v>6</v>
      </c>
      <c r="BD8" s="114">
        <f>IF(AND('Raw Data'!R6&lt;&gt;"",'Raw Data'!R6&lt;&gt;0),ROUNDDOWN('Raw Data'!R6,Title!$M$1),"")</f>
        <v>55.45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693.41</v>
      </c>
      <c r="BG8" s="74">
        <f ca="1">IF(OR(BD8&lt;&gt;"",BE8&lt;&gt;""),RANK(BH8,BH$5:INDIRECT(BG$1,TRUE)),"")</f>
        <v>6</v>
      </c>
      <c r="BH8" s="77">
        <f t="shared" si="30"/>
        <v>693.41</v>
      </c>
      <c r="BI8" s="77">
        <f t="shared" si="9"/>
        <v>5203.25</v>
      </c>
      <c r="BJ8" s="105">
        <f ca="1">IF(BI8&lt;&gt;"",RANK(BI8,BI$5:INDIRECT(BJ$1,TRUE)),"")</f>
        <v>6</v>
      </c>
      <c r="BK8" s="114">
        <f>IF(AND('Raw Data'!T6&lt;&gt;"",'Raw Data'!T6&lt;&gt;0),ROUNDDOWN('Raw Data'!T6,Title!$M$1),"")</f>
        <v>61.29</v>
      </c>
      <c r="BL8" s="110">
        <f>IF(AND('Raw Data'!U6&lt;&gt;"",'Raw Data'!U6&lt;&gt;0),'Raw Data'!U6,"")</f>
      </c>
      <c r="BM8" s="98">
        <f t="shared" si="31"/>
        <v>601.07</v>
      </c>
      <c r="BN8" s="74">
        <f ca="1">IF(OR(BK8&lt;&gt;"",BL8&lt;&gt;""),RANK(BO8,BO$5:INDIRECT(BN$1,TRUE)),"")</f>
        <v>6</v>
      </c>
      <c r="BO8" s="77">
        <f t="shared" si="32"/>
        <v>601.07</v>
      </c>
      <c r="BP8" s="77">
        <f t="shared" si="10"/>
        <v>5847.28</v>
      </c>
      <c r="BQ8" s="105">
        <f ca="1">IF(BP8&lt;&gt;"",RANK(BP8,BP$5:INDIRECT(BQ$1,TRUE)),"")</f>
        <v>6</v>
      </c>
      <c r="BR8" s="114">
        <f>IF(AND('Raw Data'!V6&lt;&gt;"",'Raw Data'!V6&lt;&gt;0),ROUNDDOWN('Raw Data'!V6,Title!$M$1),"")</f>
        <v>66.93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531.6</v>
      </c>
      <c r="BU8" s="74">
        <f ca="1">IF(OR(BR8&lt;&gt;"",BS8&lt;&gt;""),RANK(BV8,BV$5:INDIRECT(BU$1,TRUE)),"")</f>
        <v>7</v>
      </c>
      <c r="BV8" s="77">
        <f t="shared" si="33"/>
        <v>531.6</v>
      </c>
      <c r="BW8" s="77">
        <f t="shared" si="11"/>
        <v>6448.35</v>
      </c>
      <c r="BX8" s="105">
        <f ca="1">IF(BW8&lt;&gt;"",RANK(BW8,BW$5:INDIRECT(BX$1,TRUE)),"")</f>
        <v>6</v>
      </c>
      <c r="BY8" s="114">
        <f>IF(AND('Raw Data'!X6&lt;&gt;"",'Raw Data'!X6&lt;&gt;0),ROUNDDOWN('Raw Data'!X6,Title!$M$1),"")</f>
        <v>71.1</v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  <v>474.4</v>
      </c>
      <c r="CB8" s="74">
        <f ca="1">IF(OR(BY8&lt;&gt;"",BZ8&lt;&gt;""),RANK(CC8,CC$5:INDIRECT(CB$1,TRUE)),"")</f>
        <v>6</v>
      </c>
      <c r="CC8" s="77">
        <f t="shared" si="34"/>
        <v>474.4</v>
      </c>
      <c r="CD8" s="77">
        <f t="shared" si="12"/>
        <v>6979.95</v>
      </c>
      <c r="CE8" s="105">
        <f ca="1">IF(CD8&lt;&gt;"",RANK(CD8,CD$5:INDIRECT(CE$1,TRUE)),"")</f>
        <v>6</v>
      </c>
      <c r="CF8" s="114">
        <f>IF(AND('Raw Data'!Z6&lt;&gt;"",'Raw Data'!Z6&lt;&gt;0),ROUNDDOWN('Raw Data'!Z6,Title!$M$1),"")</f>
        <v>76.87</v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  <v>639.91</v>
      </c>
      <c r="CI8" s="74">
        <f ca="1">IF(OR(CF8&lt;&gt;"",CG8&lt;&gt;""),RANK(CJ8,CJ$5:INDIRECT(CI$1,TRUE)),"")</f>
        <v>6</v>
      </c>
      <c r="CJ8" s="77">
        <f t="shared" si="35"/>
        <v>639.91</v>
      </c>
      <c r="CK8" s="77">
        <f t="shared" si="13"/>
        <v>7619.86</v>
      </c>
      <c r="CL8" s="105">
        <f ca="1">IF(CK8&lt;&gt;"",RANK(CK8,CK$5:INDIRECT(CL$1,TRUE)),"")</f>
        <v>6</v>
      </c>
      <c r="CM8" s="114">
        <f>IF(AND('Raw Data'!AB6&lt;&gt;"",'Raw Data'!AB6&lt;&gt;0),ROUNDDOWN('Raw Data'!AB6,Title!$M$1),"")</f>
        <v>59.82</v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  <v>759.61</v>
      </c>
      <c r="CP8" s="74">
        <f ca="1">IF(OR(CM8&lt;&gt;"",CN8&lt;&gt;""),RANK(CQ8,CQ$5:INDIRECT(CP$1,TRUE)),"")</f>
        <v>6</v>
      </c>
      <c r="CQ8" s="77">
        <f t="shared" si="36"/>
        <v>759.61</v>
      </c>
      <c r="CR8" s="77">
        <f t="shared" si="14"/>
        <v>8379.47</v>
      </c>
      <c r="CS8" s="105">
        <f ca="1">IF(CR8&lt;&gt;"",RANK(CR8,CR$5:INDIRECT(CS$1,TRUE)),"")</f>
        <v>6</v>
      </c>
      <c r="CT8" s="114">
        <f>IF(AND('Raw Data'!AD6&lt;&gt;"",'Raw Data'!AD6&lt;&gt;0),ROUNDDOWN('Raw Data'!AD6,Title!$M$1),"")</f>
        <v>72.54</v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  <v>603.66</v>
      </c>
      <c r="CW8" s="74">
        <f ca="1">IF(OR(CT8&lt;&gt;"",CU8&lt;&gt;""),RANK(CX8,CX$5:INDIRECT(CW$1,TRUE)),"")</f>
        <v>6</v>
      </c>
      <c r="CX8" s="77">
        <f t="shared" si="37"/>
        <v>603.66</v>
      </c>
      <c r="CY8" s="77">
        <f t="shared" si="15"/>
        <v>8983.13</v>
      </c>
      <c r="CZ8" s="105">
        <f ca="1">IF(CY8&lt;&gt;"",RANK(CY8,CY$5:INDIRECT(CZ$1,TRUE)),"")</f>
        <v>6</v>
      </c>
      <c r="DA8" s="114">
        <f>IF(AND('Raw Data'!AF6&lt;&gt;"",'Raw Data'!AF6&lt;&gt;0),ROUNDDOWN('Raw Data'!AF6,Title!$M$1),"")</f>
        <v>52.34</v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  <v>799</v>
      </c>
      <c r="DD8" s="74">
        <f ca="1">IF(OR(DA8&lt;&gt;"",DB8&lt;&gt;""),RANK(DE8,DE$5:INDIRECT(DD$1,TRUE)),"")</f>
        <v>4</v>
      </c>
      <c r="DE8" s="77">
        <f t="shared" si="38"/>
        <v>799</v>
      </c>
      <c r="DF8" s="77">
        <f t="shared" si="16"/>
        <v>9250.53</v>
      </c>
      <c r="DG8" s="105">
        <f ca="1">IF(DF8&lt;&gt;"",RANK(DF8,DF$5:INDIRECT(DG$1,TRUE)),"")</f>
        <v>6</v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$ER$8:$FF$8</v>
      </c>
      <c r="ER8" s="77">
        <f t="shared" si="45"/>
        <v>896.16</v>
      </c>
      <c r="ES8" s="77">
        <f t="shared" si="46"/>
        <v>703.87</v>
      </c>
      <c r="ET8" s="77">
        <f t="shared" si="47"/>
        <v>731.43</v>
      </c>
      <c r="EU8" s="77">
        <f t="shared" si="48"/>
        <v>658.56</v>
      </c>
      <c r="EV8" s="77">
        <f t="shared" si="49"/>
        <v>833.33</v>
      </c>
      <c r="EW8" s="77">
        <f t="shared" si="50"/>
        <v>644.03</v>
      </c>
      <c r="EX8" s="77">
        <f t="shared" si="51"/>
        <v>686.49</v>
      </c>
      <c r="EY8" s="77">
        <f t="shared" si="52"/>
        <v>693.41</v>
      </c>
      <c r="EZ8" s="77">
        <f t="shared" si="53"/>
        <v>601.07</v>
      </c>
      <c r="FA8" s="77">
        <f t="shared" si="54"/>
        <v>531.6</v>
      </c>
      <c r="FB8" s="77">
        <f t="shared" si="55"/>
        <v>474.4</v>
      </c>
      <c r="FC8" s="77">
        <f t="shared" si="56"/>
        <v>639.91</v>
      </c>
      <c r="FD8" s="77">
        <f t="shared" si="57"/>
        <v>759.61</v>
      </c>
      <c r="FE8" s="77">
        <f t="shared" si="58"/>
        <v>603.66</v>
      </c>
      <c r="FF8" s="77">
        <f t="shared" si="59"/>
        <v>799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$FM$8:$GA$8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GV8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658.56</v>
      </c>
      <c r="GL8" s="77">
        <f>GetDiscardScore($ER8:EV8,GL$1)</f>
        <v>658.56</v>
      </c>
      <c r="GM8" s="77">
        <f>GetDiscardScore($ER8:EW8,GM$1)</f>
        <v>644.03</v>
      </c>
      <c r="GN8" s="77">
        <f>GetDiscardScore($ER8:EX8,GN$1)</f>
        <v>644.03</v>
      </c>
      <c r="GO8" s="77">
        <f>GetDiscardScore($ER8:EY8,GO$1)</f>
        <v>644.03</v>
      </c>
      <c r="GP8" s="77">
        <f>GetDiscardScore($ER8:EZ8,GP$1)</f>
        <v>601.07</v>
      </c>
      <c r="GQ8" s="77">
        <f>GetDiscardScore($ER8:FA8,GQ$1)</f>
        <v>531.6</v>
      </c>
      <c r="GR8" s="77">
        <f>GetDiscardScore($ER8:FB8,GR$1)</f>
        <v>474.4</v>
      </c>
      <c r="GS8" s="77">
        <f>GetDiscardScore($ER8:FC8,GS$1)</f>
        <v>474.4</v>
      </c>
      <c r="GT8" s="77">
        <f>GetDiscardScore($ER8:FD8,GT$1)</f>
        <v>474.4</v>
      </c>
      <c r="GU8" s="77">
        <f>GetDiscardScore($ER8:FE8,GU$1)</f>
        <v>474.4</v>
      </c>
      <c r="GV8" s="77">
        <f>GetDiscardScore($ER8:FF8,GV$1)</f>
        <v>1006</v>
      </c>
      <c r="GW8" s="77">
        <f>GetDiscardScore($ER8:FG8,GW$1)</f>
        <v>474.4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9250.53</v>
      </c>
      <c r="HC8" s="78">
        <f ca="1">IF(HB8&lt;&gt;"",RANK(HB8,HB$5:INDIRECT(HC$1,TRUE),0),"")</f>
        <v>6</v>
      </c>
      <c r="HD8" s="76" t="str">
        <f ca="1" t="shared" si="88"/>
        <v>11,10</v>
      </c>
    </row>
    <row r="9" spans="1:212" s="74" customFormat="1" ht="11.25">
      <c r="A9" s="39">
        <v>5</v>
      </c>
      <c r="B9" s="39" t="str">
        <f>IF('Raw Data'!B7&lt;&gt;"",'Raw Data'!B7,"")</f>
        <v>Mark Redsell</v>
      </c>
      <c r="C9" s="74">
        <f>IF('Raw Data'!C7&lt;&gt;"",'Raw Data'!C7,"")</f>
        <v>0</v>
      </c>
      <c r="D9" s="40">
        <f t="shared" si="22"/>
        <v>12659.41</v>
      </c>
      <c r="E9" s="75">
        <f t="shared" si="23"/>
        <v>1</v>
      </c>
      <c r="F9" s="100" t="str">
        <f t="shared" si="0"/>
        <v>11,15</v>
      </c>
      <c r="G9" s="114">
        <f>IF(AND('Raw Data'!D7&lt;&gt;"",'Raw Data'!D7&lt;&gt;0),ROUNDDOWN('Raw Data'!D7,Title!$M$1),"")</f>
        <v>40.54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938.82</v>
      </c>
      <c r="J9" s="74">
        <f ca="1">IF(K9&lt;&gt;0,RANK(K9,K$5:INDIRECT(J$1,TRUE)),"")</f>
        <v>3</v>
      </c>
      <c r="K9" s="77">
        <f t="shared" si="1"/>
        <v>938.82</v>
      </c>
      <c r="L9" s="77">
        <f t="shared" si="2"/>
        <v>938.82</v>
      </c>
      <c r="M9" s="105">
        <f ca="1">IF(L9&lt;&gt;"",RANK(L9,L$5:INDIRECT(M$1,TRUE)),"")</f>
        <v>3</v>
      </c>
      <c r="N9" s="114">
        <f>IF(AND('Raw Data'!F7&lt;&gt;"",'Raw Data'!F7&lt;&gt;0),ROUNDDOWN('Raw Data'!F7,Title!$M$1),"")</f>
        <v>34.37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1000</v>
      </c>
      <c r="Q9" s="74">
        <f ca="1">IF(OR(N9&lt;&gt;"",O9&lt;&gt;""),RANK(R9,R$5:INDIRECT(Q$1,TRUE)),"")</f>
        <v>1</v>
      </c>
      <c r="R9" s="77">
        <f t="shared" si="24"/>
        <v>1000</v>
      </c>
      <c r="S9" s="77">
        <f t="shared" si="3"/>
        <v>1938.82</v>
      </c>
      <c r="T9" s="105">
        <f ca="1">IF(S9&lt;&gt;"",RANK(S9,S$5:INDIRECT(T$1,TRUE)),"")</f>
        <v>1</v>
      </c>
      <c r="U9" s="114">
        <f>IF(AND('Raw Data'!H7&lt;&gt;"",'Raw Data'!H7&lt;&gt;0),ROUNDDOWN('Raw Data'!H7,Title!$M$1),"")</f>
        <v>35.65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1000</v>
      </c>
      <c r="X9" s="74">
        <f ca="1">IF(OR(U9&lt;&gt;"",V9&lt;&gt;""),RANK(Y9,Y$5:INDIRECT(X$1,TRUE)),"")</f>
        <v>1</v>
      </c>
      <c r="Y9" s="77">
        <f t="shared" si="25"/>
        <v>1000</v>
      </c>
      <c r="Z9" s="77">
        <f t="shared" si="4"/>
        <v>2938.82</v>
      </c>
      <c r="AA9" s="105">
        <f ca="1">IF(Z9&lt;&gt;"",RANK(Z9,Z$5:INDIRECT(AA$1,TRUE)),"")</f>
        <v>1</v>
      </c>
      <c r="AB9" s="114">
        <f>IF(AND('Raw Data'!J7&lt;&gt;"",'Raw Data'!J7&lt;&gt;0),ROUNDDOWN('Raw Data'!J7,Title!$M$1),"")</f>
        <v>34.68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1000</v>
      </c>
      <c r="AE9" s="74">
        <f ca="1">IF(OR(AB9&lt;&gt;"",AC9&lt;&gt;""),RANK(AF9,AF$5:INDIRECT(AE$1,TRUE)),"")</f>
        <v>1</v>
      </c>
      <c r="AF9" s="77">
        <f t="shared" si="26"/>
        <v>1000</v>
      </c>
      <c r="AG9" s="77">
        <f t="shared" si="5"/>
        <v>3000</v>
      </c>
      <c r="AH9" s="105">
        <f ca="1">IF(AG9&lt;&gt;"",RANK(AG9,AG$5:INDIRECT(AH$1,TRUE)),"")</f>
        <v>1</v>
      </c>
      <c r="AI9" s="114">
        <f>IF(AND('Raw Data'!L7&lt;&gt;"",'Raw Data'!L7&lt;&gt;0),ROUNDDOWN('Raw Data'!L7,Title!$M$1),"")</f>
        <v>42.29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937.57</v>
      </c>
      <c r="AL9" s="74">
        <f ca="1">IF(OR(AI9&lt;&gt;"",AJ9&lt;&gt;""),RANK(AM9,AM$5:INDIRECT(AL$1,TRUE)),"")</f>
        <v>2</v>
      </c>
      <c r="AM9" s="77">
        <f t="shared" si="27"/>
        <v>937.57</v>
      </c>
      <c r="AN9" s="77">
        <f t="shared" si="6"/>
        <v>3938.82</v>
      </c>
      <c r="AO9" s="105">
        <f ca="1">IF(AN9&lt;&gt;"",RANK(AN9,AN$5:INDIRECT(AO$1,TRUE)),"")</f>
        <v>1</v>
      </c>
      <c r="AP9" s="114">
        <f>IF(AND('Raw Data'!N7&lt;&gt;"",'Raw Data'!N7&lt;&gt;0),ROUNDDOWN('Raw Data'!N7,Title!$M$1),"")</f>
        <v>37.6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956.11</v>
      </c>
      <c r="AS9" s="74">
        <f ca="1">IF(OR(AP9&lt;&gt;"",AQ9&lt;&gt;""),RANK(AT9,AT$5:INDIRECT(AS$1,TRUE)),"")</f>
        <v>2</v>
      </c>
      <c r="AT9" s="77">
        <f t="shared" si="28"/>
        <v>956.11</v>
      </c>
      <c r="AU9" s="77">
        <f t="shared" si="7"/>
        <v>4894.93</v>
      </c>
      <c r="AV9" s="105">
        <f ca="1">IF(AU9&lt;&gt;"",RANK(AU9,AU$5:INDIRECT(AV$1,TRUE)),"")</f>
        <v>1</v>
      </c>
      <c r="AW9" s="114">
        <f>IF(AND('Raw Data'!P7&lt;&gt;"",'Raw Data'!P7&lt;&gt;0),ROUNDDOWN('Raw Data'!P7,Title!$M$1),"")</f>
        <v>48.21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917.02</v>
      </c>
      <c r="AZ9" s="74">
        <f ca="1">IF(OR(AW9&lt;&gt;"",AX9&lt;&gt;""),RANK(BA9,BA$5:INDIRECT(AZ$1,TRUE)),"")</f>
        <v>3</v>
      </c>
      <c r="BA9" s="77">
        <f t="shared" si="29"/>
        <v>917.02</v>
      </c>
      <c r="BB9" s="77">
        <f t="shared" si="8"/>
        <v>5832.5</v>
      </c>
      <c r="BC9" s="105">
        <f ca="1">IF(BB9&lt;&gt;"",RANK(BB9,BB$5:INDIRECT(BC$1,TRUE)),"")</f>
        <v>1</v>
      </c>
      <c r="BD9" s="114">
        <f>IF(AND('Raw Data'!R7&lt;&gt;"",'Raw Data'!R7&lt;&gt;0),ROUNDDOWN('Raw Data'!R7,Title!$M$1),"")</f>
        <v>38.45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1000</v>
      </c>
      <c r="BG9" s="74">
        <f ca="1">IF(OR(BD9&lt;&gt;"",BE9&lt;&gt;""),RANK(BH9,BH$5:INDIRECT(BG$1,TRUE)),"")</f>
        <v>1</v>
      </c>
      <c r="BH9" s="77">
        <f t="shared" si="30"/>
        <v>1000</v>
      </c>
      <c r="BI9" s="77">
        <f t="shared" si="9"/>
        <v>6832.5</v>
      </c>
      <c r="BJ9" s="105">
        <f ca="1">IF(BI9&lt;&gt;"",RANK(BI9,BI$5:INDIRECT(BJ$1,TRUE)),"")</f>
        <v>1</v>
      </c>
      <c r="BK9" s="114">
        <f>IF(AND('Raw Data'!T7&lt;&gt;"",'Raw Data'!T7&lt;&gt;0),ROUNDDOWN('Raw Data'!T7,Title!$M$1),"")</f>
        <v>36.84</v>
      </c>
      <c r="BL9" s="110">
        <f>IF(AND('Raw Data'!U7&lt;&gt;"",'Raw Data'!U7&lt;&gt;0),'Raw Data'!U7,"")</f>
      </c>
      <c r="BM9" s="98">
        <f t="shared" si="31"/>
        <v>1000</v>
      </c>
      <c r="BN9" s="74">
        <f ca="1">IF(OR(BK9&lt;&gt;"",BL9&lt;&gt;""),RANK(BO9,BO$5:INDIRECT(BN$1,TRUE)),"")</f>
        <v>1</v>
      </c>
      <c r="BO9" s="77">
        <f t="shared" si="32"/>
        <v>1000</v>
      </c>
      <c r="BP9" s="77">
        <f t="shared" si="10"/>
        <v>7832.5</v>
      </c>
      <c r="BQ9" s="105">
        <f ca="1">IF(BP9&lt;&gt;"",RANK(BP9,BP$5:INDIRECT(BQ$1,TRUE)),"")</f>
        <v>1</v>
      </c>
      <c r="BR9" s="114">
        <f>IF(AND('Raw Data'!V7&lt;&gt;"",'Raw Data'!V7&lt;&gt;0),ROUNDDOWN('Raw Data'!V7,Title!$M$1),"")</f>
        <v>35.58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1000</v>
      </c>
      <c r="BU9" s="74">
        <f ca="1">IF(OR(BR9&lt;&gt;"",BS9&lt;&gt;""),RANK(BV9,BV$5:INDIRECT(BU$1,TRUE)),"")</f>
        <v>1</v>
      </c>
      <c r="BV9" s="77">
        <f t="shared" si="33"/>
        <v>1000</v>
      </c>
      <c r="BW9" s="77">
        <f t="shared" si="11"/>
        <v>8832.5</v>
      </c>
      <c r="BX9" s="105">
        <f ca="1">IF(BW9&lt;&gt;"",RANK(BW9,BW$5:INDIRECT(BX$1,TRUE)),"")</f>
        <v>1</v>
      </c>
      <c r="BY9" s="114">
        <f>IF(AND('Raw Data'!X7&lt;&gt;"",'Raw Data'!X7&lt;&gt;0),ROUNDDOWN('Raw Data'!X7,Title!$M$1),"")</f>
        <v>55.02</v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  <v>613.04</v>
      </c>
      <c r="CB9" s="74">
        <f ca="1">IF(OR(BY9&lt;&gt;"",BZ9&lt;&gt;""),RANK(CC9,CC$5:INDIRECT(CB$1,TRUE)),"")</f>
        <v>4</v>
      </c>
      <c r="CC9" s="77">
        <f t="shared" si="34"/>
        <v>613.04</v>
      </c>
      <c r="CD9" s="77">
        <f t="shared" si="12"/>
        <v>9749.52</v>
      </c>
      <c r="CE9" s="105">
        <f ca="1">IF(CD9&lt;&gt;"",RANK(CD9,CD$5:INDIRECT(CE$1,TRUE)),"")</f>
        <v>1</v>
      </c>
      <c r="CF9" s="114">
        <f>IF(AND('Raw Data'!Z7&lt;&gt;"",'Raw Data'!Z7&lt;&gt;0),ROUNDDOWN('Raw Data'!Z7,Title!$M$1),"")</f>
        <v>49.19</v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  <v>1000</v>
      </c>
      <c r="CI9" s="74">
        <f ca="1">IF(OR(CF9&lt;&gt;"",CG9&lt;&gt;""),RANK(CJ9,CJ$5:INDIRECT(CI$1,TRUE)),"")</f>
        <v>1</v>
      </c>
      <c r="CJ9" s="77">
        <f t="shared" si="35"/>
        <v>1000</v>
      </c>
      <c r="CK9" s="77">
        <f t="shared" si="13"/>
        <v>10749.52</v>
      </c>
      <c r="CL9" s="105">
        <f ca="1">IF(CK9&lt;&gt;"",RANK(CK9,CK$5:INDIRECT(CL$1,TRUE)),"")</f>
        <v>1</v>
      </c>
      <c r="CM9" s="114">
        <f>IF(AND('Raw Data'!AB7&lt;&gt;"",'Raw Data'!AB7&lt;&gt;0),ROUNDDOWN('Raw Data'!AB7,Title!$M$1),"")</f>
        <v>49.94</v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  <v>909.89</v>
      </c>
      <c r="CP9" s="74">
        <f ca="1">IF(OR(CM9&lt;&gt;"",CN9&lt;&gt;""),RANK(CQ9,CQ$5:INDIRECT(CP$1,TRUE)),"")</f>
        <v>3</v>
      </c>
      <c r="CQ9" s="77">
        <f t="shared" si="36"/>
        <v>909.89</v>
      </c>
      <c r="CR9" s="77">
        <f t="shared" si="14"/>
        <v>11659.41</v>
      </c>
      <c r="CS9" s="105">
        <f ca="1">IF(CR9&lt;&gt;"",RANK(CR9,CR$5:INDIRECT(CS$1,TRUE)),"")</f>
        <v>1</v>
      </c>
      <c r="CT9" s="114">
        <f>IF(AND('Raw Data'!AD7&lt;&gt;"",'Raw Data'!AD7&lt;&gt;0),ROUNDDOWN('Raw Data'!AD7,Title!$M$1),"")</f>
        <v>43.79</v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  <v>1000</v>
      </c>
      <c r="CW9" s="74">
        <f ca="1">IF(OR(CT9&lt;&gt;"",CU9&lt;&gt;""),RANK(CX9,CX$5:INDIRECT(CW$1,TRUE)),"")</f>
        <v>1</v>
      </c>
      <c r="CX9" s="77">
        <f t="shared" si="37"/>
        <v>1000</v>
      </c>
      <c r="CY9" s="77">
        <f t="shared" si="15"/>
        <v>12659.41</v>
      </c>
      <c r="CZ9" s="105">
        <f ca="1">IF(CY9&lt;&gt;"",RANK(CY9,CY$5:INDIRECT(CZ$1,TRUE)),"")</f>
        <v>1</v>
      </c>
      <c r="DA9" s="114">
        <f>IF(AND('Raw Data'!AF7&lt;&gt;"",'Raw Data'!AF7&lt;&gt;0),ROUNDDOWN('Raw Data'!AF7,Title!$M$1),"")</f>
        <v>52.17</v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  <v>801.61</v>
      </c>
      <c r="DD9" s="74">
        <f ca="1">IF(OR(DA9&lt;&gt;"",DB9&lt;&gt;""),RANK(DE9,DE$5:INDIRECT(DD$1,TRUE)),"")</f>
        <v>3</v>
      </c>
      <c r="DE9" s="77">
        <f t="shared" si="38"/>
        <v>801.61</v>
      </c>
      <c r="DF9" s="77">
        <f t="shared" si="16"/>
        <v>12659.41</v>
      </c>
      <c r="DG9" s="105">
        <f ca="1">IF(DF9&lt;&gt;"",RANK(DF9,DF$5:INDIRECT(DG$1,TRUE)),"")</f>
        <v>1</v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$ER$9:$FF$9</v>
      </c>
      <c r="ER9" s="77">
        <f t="shared" si="45"/>
        <v>938.82</v>
      </c>
      <c r="ES9" s="77">
        <f t="shared" si="46"/>
        <v>1000</v>
      </c>
      <c r="ET9" s="77">
        <f t="shared" si="47"/>
        <v>1000</v>
      </c>
      <c r="EU9" s="77">
        <f t="shared" si="48"/>
        <v>1000</v>
      </c>
      <c r="EV9" s="77">
        <f t="shared" si="49"/>
        <v>937.57</v>
      </c>
      <c r="EW9" s="77">
        <f t="shared" si="50"/>
        <v>956.11</v>
      </c>
      <c r="EX9" s="77">
        <f t="shared" si="51"/>
        <v>917.02</v>
      </c>
      <c r="EY9" s="77">
        <f t="shared" si="52"/>
        <v>1000</v>
      </c>
      <c r="EZ9" s="77">
        <f t="shared" si="53"/>
        <v>1000</v>
      </c>
      <c r="FA9" s="77">
        <f t="shared" si="54"/>
        <v>1000</v>
      </c>
      <c r="FB9" s="77">
        <f t="shared" si="55"/>
        <v>613.04</v>
      </c>
      <c r="FC9" s="77">
        <f t="shared" si="56"/>
        <v>1000</v>
      </c>
      <c r="FD9" s="77">
        <f t="shared" si="57"/>
        <v>909.89</v>
      </c>
      <c r="FE9" s="77">
        <f t="shared" si="58"/>
        <v>1000</v>
      </c>
      <c r="FF9" s="77">
        <f t="shared" si="59"/>
        <v>801.61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$FM$9:$GA$9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GV9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938.82</v>
      </c>
      <c r="GL9" s="77">
        <f>GetDiscardScore($ER9:EV9,GL$1)</f>
        <v>937.57</v>
      </c>
      <c r="GM9" s="77">
        <f>GetDiscardScore($ER9:EW9,GM$1)</f>
        <v>937.57</v>
      </c>
      <c r="GN9" s="77">
        <f>GetDiscardScore($ER9:EX9,GN$1)</f>
        <v>917.02</v>
      </c>
      <c r="GO9" s="77">
        <f>GetDiscardScore($ER9:EY9,GO$1)</f>
        <v>917.02</v>
      </c>
      <c r="GP9" s="77">
        <f>GetDiscardScore($ER9:EZ9,GP$1)</f>
        <v>917.02</v>
      </c>
      <c r="GQ9" s="77">
        <f>GetDiscardScore($ER9:FA9,GQ$1)</f>
        <v>917.02</v>
      </c>
      <c r="GR9" s="77">
        <f>GetDiscardScore($ER9:FB9,GR$1)</f>
        <v>613.04</v>
      </c>
      <c r="GS9" s="77">
        <f>GetDiscardScore($ER9:FC9,GS$1)</f>
        <v>613.04</v>
      </c>
      <c r="GT9" s="77">
        <f>GetDiscardScore($ER9:FD9,GT$1)</f>
        <v>613.04</v>
      </c>
      <c r="GU9" s="77">
        <f>GetDiscardScore($ER9:FE9,GU$1)</f>
        <v>613.04</v>
      </c>
      <c r="GV9" s="77">
        <f>GetDiscardScore($ER9:FF9,GV$1)</f>
        <v>1414.65</v>
      </c>
      <c r="GW9" s="77">
        <f>GetDiscardScore($ER9:FG9,GW$1)</f>
        <v>613.04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12659.41</v>
      </c>
      <c r="HC9" s="78">
        <f ca="1">IF(HB9&lt;&gt;"",RANK(HB9,HB$5:INDIRECT(HC$1,TRUE),0),"")</f>
        <v>1</v>
      </c>
      <c r="HD9" s="76" t="str">
        <f ca="1" t="shared" si="88"/>
        <v>11,15</v>
      </c>
    </row>
    <row r="10" spans="1:212" s="74" customFormat="1" ht="11.25">
      <c r="A10" s="39">
        <v>6</v>
      </c>
      <c r="B10" s="39" t="str">
        <f>IF('Raw Data'!B8&lt;&gt;"",'Raw Data'!B8,"")</f>
        <v>Bob Dickenson</v>
      </c>
      <c r="C10" s="74">
        <f>IF('Raw Data'!C8&lt;&gt;"",'Raw Data'!C8,"")</f>
        <v>0</v>
      </c>
      <c r="D10" s="40">
        <f t="shared" si="22"/>
        <v>6356.93</v>
      </c>
      <c r="E10" s="75">
        <f t="shared" si="23"/>
        <v>7</v>
      </c>
      <c r="F10" s="100" t="str">
        <f t="shared" si="0"/>
        <v>11,12</v>
      </c>
      <c r="G10" s="114">
        <f>IF(AND('Raw Data'!D8&lt;&gt;"",'Raw Data'!D8&lt;&gt;0),ROUNDDOWN('Raw Data'!D8,Title!$M$1),"")</f>
        <v>57.97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656.54</v>
      </c>
      <c r="J10" s="74">
        <f ca="1">IF(K10&lt;&gt;0,RANK(K10,K$5:INDIRECT(J$1,TRUE)),"")</f>
        <v>7</v>
      </c>
      <c r="K10" s="77">
        <f t="shared" si="1"/>
        <v>656.54</v>
      </c>
      <c r="L10" s="77">
        <f t="shared" si="2"/>
        <v>656.54</v>
      </c>
      <c r="M10" s="105">
        <f ca="1">IF(L10&lt;&gt;"",RANK(L10,L$5:INDIRECT(M$1,TRUE)),"")</f>
        <v>7</v>
      </c>
      <c r="N10" s="114">
        <f>IF(AND('Raw Data'!F8&lt;&gt;"",'Raw Data'!F8&lt;&gt;0),ROUNDDOWN('Raw Data'!F8,Title!$M$1),"")</f>
        <v>54.13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634.95</v>
      </c>
      <c r="Q10" s="74">
        <f ca="1">IF(OR(N10&lt;&gt;"",O10&lt;&gt;""),RANK(R10,R$5:INDIRECT(Q$1,TRUE)),"")</f>
        <v>7</v>
      </c>
      <c r="R10" s="77">
        <f t="shared" si="24"/>
        <v>634.95</v>
      </c>
      <c r="S10" s="77">
        <f t="shared" si="3"/>
        <v>1291.49</v>
      </c>
      <c r="T10" s="105">
        <f ca="1">IF(S10&lt;&gt;"",RANK(S10,S$5:INDIRECT(T$1,TRUE)),"")</f>
        <v>7</v>
      </c>
      <c r="U10" s="114">
        <f>IF(AND('Raw Data'!H8&lt;&gt;"",'Raw Data'!H8&lt;&gt;0),ROUNDDOWN('Raw Data'!H8,Title!$M$1),"")</f>
        <v>53.04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672.13</v>
      </c>
      <c r="X10" s="74">
        <f ca="1">IF(OR(U10&lt;&gt;"",V10&lt;&gt;""),RANK(Y10,Y$5:INDIRECT(X$1,TRUE)),"")</f>
        <v>7</v>
      </c>
      <c r="Y10" s="77">
        <f t="shared" si="25"/>
        <v>672.13</v>
      </c>
      <c r="Z10" s="77">
        <f t="shared" si="4"/>
        <v>1963.62</v>
      </c>
      <c r="AA10" s="105">
        <f ca="1">IF(Z10&lt;&gt;"",RANK(Z10,Z$5:INDIRECT(AA$1,TRUE)),"")</f>
        <v>7</v>
      </c>
      <c r="AB10" s="114">
        <f>IF(AND('Raw Data'!J8&lt;&gt;"",'Raw Data'!J8&lt;&gt;0),ROUNDDOWN('Raw Data'!J8,Title!$M$1),"")</f>
        <v>49.73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697.36</v>
      </c>
      <c r="AE10" s="74">
        <f ca="1">IF(OR(AB10&lt;&gt;"",AC10&lt;&gt;""),RANK(AF10,AF$5:INDIRECT(AE$1,TRUE)),"")</f>
        <v>6</v>
      </c>
      <c r="AF10" s="77">
        <f t="shared" si="26"/>
        <v>697.36</v>
      </c>
      <c r="AG10" s="77">
        <f t="shared" si="5"/>
        <v>2026.03</v>
      </c>
      <c r="AH10" s="105">
        <f ca="1">IF(AG10&lt;&gt;"",RANK(AG10,AG$5:INDIRECT(AH$1,TRUE)),"")</f>
        <v>7</v>
      </c>
      <c r="AI10" s="114">
        <f>IF(AND('Raw Data'!L8&lt;&gt;"",'Raw Data'!L8&lt;&gt;0),ROUNDDOWN('Raw Data'!L8,Title!$M$1),"")</f>
        <v>54.72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724.59</v>
      </c>
      <c r="AL10" s="74">
        <f ca="1">IF(OR(AI10&lt;&gt;"",AJ10&lt;&gt;""),RANK(AM10,AM$5:INDIRECT(AL$1,TRUE)),"")</f>
        <v>7</v>
      </c>
      <c r="AM10" s="77">
        <f t="shared" si="27"/>
        <v>724.59</v>
      </c>
      <c r="AN10" s="77">
        <f t="shared" si="6"/>
        <v>2750.62</v>
      </c>
      <c r="AO10" s="105">
        <f ca="1">IF(AN10&lt;&gt;"",RANK(AN10,AN$5:INDIRECT(AO$1,TRUE)),"")</f>
        <v>7</v>
      </c>
      <c r="AP10" s="114">
        <f>IF(AND('Raw Data'!N8&lt;&gt;"",'Raw Data'!N8&lt;&gt;0),ROUNDDOWN('Raw Data'!N8,Title!$M$1),"")</f>
        <v>60.71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592.15</v>
      </c>
      <c r="AS10" s="74">
        <f ca="1">IF(OR(AP10&lt;&gt;"",AQ10&lt;&gt;""),RANK(AT10,AT$5:INDIRECT(AS$1,TRUE)),"")</f>
        <v>7</v>
      </c>
      <c r="AT10" s="77">
        <f t="shared" si="28"/>
        <v>592.15</v>
      </c>
      <c r="AU10" s="77">
        <f t="shared" si="7"/>
        <v>3385.57</v>
      </c>
      <c r="AV10" s="105">
        <f ca="1">IF(AU10&lt;&gt;"",RANK(AU10,AU$5:INDIRECT(AV$1,TRUE)),"")</f>
        <v>7</v>
      </c>
      <c r="AW10" s="114">
        <f>IF(AND('Raw Data'!P8&lt;&gt;"",'Raw Data'!P8&lt;&gt;0),ROUNDDOWN('Raw Data'!P8,Title!$M$1),"")</f>
        <v>75.71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583.93</v>
      </c>
      <c r="AZ10" s="74">
        <f ca="1">IF(OR(AW10&lt;&gt;"",AX10&lt;&gt;""),RANK(BA10,BA$5:INDIRECT(AZ$1,TRUE)),"")</f>
        <v>7</v>
      </c>
      <c r="BA10" s="77">
        <f t="shared" si="29"/>
        <v>583.93</v>
      </c>
      <c r="BB10" s="77">
        <f t="shared" si="8"/>
        <v>3977.72</v>
      </c>
      <c r="BC10" s="105">
        <f ca="1">IF(BB10&lt;&gt;"",RANK(BB10,BB$5:INDIRECT(BC$1,TRUE)),"")</f>
        <v>7</v>
      </c>
      <c r="BD10" s="114">
        <f>IF(AND('Raw Data'!R8&lt;&gt;"",'Raw Data'!R8&lt;&gt;0),ROUNDDOWN('Raw Data'!R8,Title!$M$1),"")</f>
        <v>52.11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737.86</v>
      </c>
      <c r="BG10" s="74">
        <f ca="1">IF(OR(BD10&lt;&gt;"",BE10&lt;&gt;""),RANK(BH10,BH$5:INDIRECT(BG$1,TRUE)),"")</f>
        <v>5</v>
      </c>
      <c r="BH10" s="77">
        <f t="shared" si="30"/>
        <v>737.86</v>
      </c>
      <c r="BI10" s="77">
        <f t="shared" si="9"/>
        <v>4715.58</v>
      </c>
      <c r="BJ10" s="105">
        <f ca="1">IF(BI10&lt;&gt;"",RANK(BI10,BI$5:INDIRECT(BJ$1,TRUE)),"")</f>
        <v>7</v>
      </c>
      <c r="BK10" s="114">
        <f>IF(AND('Raw Data'!T8&lt;&gt;"",'Raw Data'!T8&lt;&gt;0),ROUNDDOWN('Raw Data'!T8,Title!$M$1),"")</f>
        <v>64.62</v>
      </c>
      <c r="BL10" s="110">
        <f>IF(AND('Raw Data'!U8&lt;&gt;"",'Raw Data'!U8&lt;&gt;0),'Raw Data'!U8,"")</f>
      </c>
      <c r="BM10" s="98">
        <f t="shared" si="31"/>
        <v>570.1</v>
      </c>
      <c r="BN10" s="74">
        <f ca="1">IF(OR(BK10&lt;&gt;"",BL10&lt;&gt;""),RANK(BO10,BO$5:INDIRECT(BN$1,TRUE)),"")</f>
        <v>7</v>
      </c>
      <c r="BO10" s="77">
        <f t="shared" si="32"/>
        <v>570.1</v>
      </c>
      <c r="BP10" s="77">
        <f t="shared" si="10"/>
        <v>5299.51</v>
      </c>
      <c r="BQ10" s="105">
        <f ca="1">IF(BP10&lt;&gt;"",RANK(BP10,BP$5:INDIRECT(BQ$1,TRUE)),"")</f>
        <v>7</v>
      </c>
      <c r="BR10" s="114">
        <f>IF(AND('Raw Data'!V8&lt;&gt;"",'Raw Data'!V8&lt;&gt;0),ROUNDDOWN('Raw Data'!V8,Title!$M$1),"")</f>
        <v>60.58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587.32</v>
      </c>
      <c r="BU10" s="74">
        <f ca="1">IF(OR(BR10&lt;&gt;"",BS10&lt;&gt;""),RANK(BV10,BV$5:INDIRECT(BU$1,TRUE)),"")</f>
        <v>6</v>
      </c>
      <c r="BV10" s="77">
        <f t="shared" si="33"/>
        <v>587.32</v>
      </c>
      <c r="BW10" s="77">
        <f t="shared" si="11"/>
        <v>5886.83</v>
      </c>
      <c r="BX10" s="105">
        <f ca="1">IF(BW10&lt;&gt;"",RANK(BW10,BW$5:INDIRECT(BX$1,TRUE)),"")</f>
        <v>7</v>
      </c>
      <c r="BY10" s="114">
        <f>IF(AND('Raw Data'!X8&lt;&gt;"",'Raw Data'!X8&lt;&gt;0),ROUNDDOWN('Raw Data'!X8,Title!$M$1),"")</f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</c>
      <c r="CB10" s="74">
        <f ca="1">IF(OR(BY10&lt;&gt;"",BZ10&lt;&gt;""),RANK(CC10,CC$5:INDIRECT(CB$1,TRUE)),"")</f>
      </c>
      <c r="CC10" s="77">
        <f t="shared" si="34"/>
      </c>
      <c r="CD10" s="77">
        <f t="shared" si="12"/>
        <v>6456.93</v>
      </c>
      <c r="CE10" s="105">
        <f ca="1">IF(CD10&lt;&gt;"",RANK(CD10,CD$5:INDIRECT(CE$1,TRUE)),"")</f>
        <v>7</v>
      </c>
      <c r="CF10" s="114">
        <f>IF(AND('Raw Data'!Z8&lt;&gt;"",'Raw Data'!Z8&lt;&gt;0),ROUNDDOWN('Raw Data'!Z8,Title!$M$1),"")</f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</c>
      <c r="CI10" s="74">
        <f ca="1">IF(OR(CF10&lt;&gt;"",CG10&lt;&gt;""),RANK(CJ10,CJ$5:INDIRECT(CI$1,TRUE)),"")</f>
      </c>
      <c r="CJ10" s="77">
        <f t="shared" si="35"/>
      </c>
      <c r="CK10" s="77">
        <f t="shared" si="13"/>
        <v>6456.93</v>
      </c>
      <c r="CL10" s="105">
        <f ca="1">IF(CK10&lt;&gt;"",RANK(CK10,CK$5:INDIRECT(CL$1,TRUE)),"")</f>
        <v>7</v>
      </c>
      <c r="CM10" s="114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36"/>
      </c>
      <c r="CR10" s="77">
        <f t="shared" si="14"/>
        <v>6456.93</v>
      </c>
      <c r="CS10" s="105">
        <f ca="1">IF(CR10&lt;&gt;"",RANK(CR10,CR$5:INDIRECT(CS$1,TRUE)),"")</f>
        <v>7</v>
      </c>
      <c r="CT10" s="114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37"/>
      </c>
      <c r="CY10" s="77">
        <f t="shared" si="15"/>
        <v>6456.93</v>
      </c>
      <c r="CZ10" s="105">
        <f ca="1">IF(CY10&lt;&gt;"",RANK(CY10,CY$5:INDIRECT(CZ$1,TRUE)),"")</f>
        <v>7</v>
      </c>
      <c r="DA10" s="114">
        <f>IF(AND('Raw Data'!AF8&lt;&gt;"",'Raw Data'!AF8&lt;&gt;0),ROUNDDOWN('Raw Data'!AF8,Title!$M$1),"")</f>
      </c>
      <c r="DB10" s="110">
        <f>IF(AND('Raw Data'!AG8&lt;&gt;"",'Raw Data'!AG8&lt;&gt;0),'Raw Data'!AG8,"")</f>
        <v>100</v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  <v>7</v>
      </c>
      <c r="DE10" s="77">
        <f t="shared" si="38"/>
        <v>-100</v>
      </c>
      <c r="DF10" s="77">
        <f t="shared" si="16"/>
        <v>6356.93</v>
      </c>
      <c r="DG10" s="105">
        <f ca="1">IF(DF10&lt;&gt;"",RANK(DF10,DF$5:INDIRECT(DG$1,TRUE)),"")</f>
        <v>7</v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$ER$10:$FF$10</v>
      </c>
      <c r="ER10" s="77">
        <f t="shared" si="45"/>
        <v>656.54</v>
      </c>
      <c r="ES10" s="77">
        <f t="shared" si="46"/>
        <v>634.95</v>
      </c>
      <c r="ET10" s="77">
        <f t="shared" si="47"/>
        <v>672.13</v>
      </c>
      <c r="EU10" s="77">
        <f t="shared" si="48"/>
        <v>697.36</v>
      </c>
      <c r="EV10" s="77">
        <f t="shared" si="49"/>
        <v>724.59</v>
      </c>
      <c r="EW10" s="77">
        <f t="shared" si="50"/>
        <v>592.15</v>
      </c>
      <c r="EX10" s="77">
        <f t="shared" si="51"/>
        <v>583.93</v>
      </c>
      <c r="EY10" s="77">
        <f t="shared" si="52"/>
        <v>737.86</v>
      </c>
      <c r="EZ10" s="77">
        <f t="shared" si="53"/>
        <v>570.1</v>
      </c>
      <c r="FA10" s="77">
        <f t="shared" si="54"/>
        <v>587.32</v>
      </c>
      <c r="FB10" s="77">
        <f t="shared" si="55"/>
        <v>0</v>
      </c>
      <c r="FC10" s="77">
        <f t="shared" si="56"/>
        <v>0</v>
      </c>
      <c r="FD10" s="77">
        <f t="shared" si="57"/>
        <v>0</v>
      </c>
      <c r="FE10" s="77">
        <f t="shared" si="58"/>
        <v>0</v>
      </c>
      <c r="FF10" s="77">
        <f t="shared" si="59"/>
        <v>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$FM$10:$GA$10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-100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GV10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634.95</v>
      </c>
      <c r="GL10" s="77">
        <f>GetDiscardScore($ER10:EV10,GL$1)</f>
        <v>634.95</v>
      </c>
      <c r="GM10" s="77">
        <f>GetDiscardScore($ER10:EW10,GM$1)</f>
        <v>592.15</v>
      </c>
      <c r="GN10" s="77">
        <f>GetDiscardScore($ER10:EX10,GN$1)</f>
        <v>583.93</v>
      </c>
      <c r="GO10" s="77">
        <f>GetDiscardScore($ER10:EY10,GO$1)</f>
        <v>583.93</v>
      </c>
      <c r="GP10" s="77">
        <f>GetDiscardScore($ER10:EZ10,GP$1)</f>
        <v>570.1</v>
      </c>
      <c r="GQ10" s="77">
        <f>GetDiscardScore($ER10:FA10,GQ$1)</f>
        <v>570.1</v>
      </c>
      <c r="GR10" s="77">
        <f>GetDiscardScore($ER10:FB10,GR$1)</f>
        <v>0</v>
      </c>
      <c r="GS10" s="77">
        <f>GetDiscardScore($ER10:FC10,GS$1)</f>
        <v>0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6356.93</v>
      </c>
      <c r="HC10" s="78">
        <f ca="1">IF(HB10&lt;&gt;"",RANK(HB10,HB$5:INDIRECT(HC$1,TRUE),0),"")</f>
        <v>7</v>
      </c>
      <c r="HD10" s="76" t="str">
        <f ca="1" t="shared" si="88"/>
        <v>11,12</v>
      </c>
    </row>
    <row r="11" spans="1:212" s="51" customFormat="1" ht="11.25">
      <c r="A11" s="41">
        <v>7</v>
      </c>
      <c r="B11" s="41" t="str">
        <f>IF('Raw Data'!B9&lt;&gt;"",'Raw Data'!B9,"")</f>
        <v>Steve Hayley</v>
      </c>
      <c r="C11" s="51">
        <f>IF('Raw Data'!C9&lt;&gt;"",'Raw Data'!C9,"")</f>
        <v>0</v>
      </c>
      <c r="D11" s="42">
        <f t="shared" si="22"/>
        <v>11625.97</v>
      </c>
      <c r="E11" s="69">
        <f t="shared" si="23"/>
        <v>3</v>
      </c>
      <c r="F11" s="99" t="str">
        <f t="shared" si="0"/>
        <v>11,8</v>
      </c>
      <c r="G11" s="111">
        <f>IF(AND('Raw Data'!D9&lt;&gt;"",'Raw Data'!D9&lt;&gt;0),ROUNDDOWN('Raw Data'!D9,Title!$M$1),"")</f>
        <v>43.4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876.95</v>
      </c>
      <c r="J11" s="51">
        <f ca="1">IF(K11&lt;&gt;0,RANK(K11,K$5:INDIRECT(J$1,TRUE)),"")</f>
        <v>5</v>
      </c>
      <c r="K11" s="71">
        <f t="shared" si="1"/>
        <v>876.95</v>
      </c>
      <c r="L11" s="71">
        <f t="shared" si="2"/>
        <v>876.95</v>
      </c>
      <c r="M11" s="104">
        <f ca="1">IF(L11&lt;&gt;"",RANK(L11,L$5:INDIRECT(M$1,TRUE)),"")</f>
        <v>5</v>
      </c>
      <c r="N11" s="111">
        <f>IF(AND('Raw Data'!F9&lt;&gt;"",'Raw Data'!F9&lt;&gt;0),ROUNDDOWN('Raw Data'!F9,Title!$M$1),"")</f>
        <v>43.78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785.06</v>
      </c>
      <c r="Q11" s="51">
        <f ca="1">IF(OR(N11&lt;&gt;"",O11&lt;&gt;""),RANK(R11,R$5:INDIRECT(Q$1,TRUE)),"")</f>
        <v>3</v>
      </c>
      <c r="R11" s="71">
        <f t="shared" si="24"/>
        <v>785.06</v>
      </c>
      <c r="S11" s="71">
        <f t="shared" si="3"/>
        <v>1662.01</v>
      </c>
      <c r="T11" s="104">
        <f ca="1">IF(S11&lt;&gt;"",RANK(S11,S$5:INDIRECT(T$1,TRUE)),"")</f>
        <v>4</v>
      </c>
      <c r="U11" s="111">
        <f>IF(AND('Raw Data'!H9&lt;&gt;"",'Raw Data'!H9&lt;&gt;0),ROUNDDOWN('Raw Data'!H9,Title!$M$1),"")</f>
        <v>45.03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791.69</v>
      </c>
      <c r="X11" s="51">
        <f ca="1">IF(OR(U11&lt;&gt;"",V11&lt;&gt;""),RANK(Y11,Y$5:INDIRECT(X$1,TRUE)),"")</f>
        <v>3</v>
      </c>
      <c r="Y11" s="71">
        <f t="shared" si="25"/>
        <v>791.69</v>
      </c>
      <c r="Z11" s="71">
        <f t="shared" si="4"/>
        <v>2453.7</v>
      </c>
      <c r="AA11" s="104">
        <f ca="1">IF(Z11&lt;&gt;"",RANK(Z11,Z$5:INDIRECT(AA$1,TRUE)),"")</f>
        <v>4</v>
      </c>
      <c r="AB11" s="111">
        <f>IF(AND('Raw Data'!J9&lt;&gt;"",'Raw Data'!J9&lt;&gt;0),ROUNDDOWN('Raw Data'!J9,Title!$M$1),"")</f>
        <v>36.19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958.27</v>
      </c>
      <c r="AE11" s="51">
        <f ca="1">IF(OR(AB11&lt;&gt;"",AC11&lt;&gt;""),RANK(AF11,AF$5:INDIRECT(AE$1,TRUE)),"")</f>
        <v>3</v>
      </c>
      <c r="AF11" s="71">
        <f t="shared" si="26"/>
        <v>958.27</v>
      </c>
      <c r="AG11" s="71">
        <f t="shared" si="5"/>
        <v>2626.91</v>
      </c>
      <c r="AH11" s="104">
        <f ca="1">IF(AG11&lt;&gt;"",RANK(AG11,AG$5:INDIRECT(AH$1,TRUE)),"")</f>
        <v>3</v>
      </c>
      <c r="AI11" s="111">
        <f>IF(AND('Raw Data'!L9&lt;&gt;"",'Raw Data'!L9&lt;&gt;0),ROUNDDOWN('Raw Data'!L9,Title!$M$1),"")</f>
        <v>44.16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897.87</v>
      </c>
      <c r="AL11" s="51">
        <f ca="1">IF(OR(AI11&lt;&gt;"",AJ11&lt;&gt;""),RANK(AM11,AM$5:INDIRECT(AL$1,TRUE)),"")</f>
        <v>3</v>
      </c>
      <c r="AM11" s="71">
        <f t="shared" si="27"/>
        <v>897.87</v>
      </c>
      <c r="AN11" s="71">
        <f t="shared" si="6"/>
        <v>3524.78</v>
      </c>
      <c r="AO11" s="104">
        <f ca="1">IF(AN11&lt;&gt;"",RANK(AN11,AN$5:INDIRECT(AO$1,TRUE)),"")</f>
        <v>3</v>
      </c>
      <c r="AP11" s="111">
        <f>IF(AND('Raw Data'!N9&lt;&gt;"",'Raw Data'!N9&lt;&gt;0),ROUNDDOWN('Raw Data'!N9,Title!$M$1),"")</f>
        <v>41.22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872.14</v>
      </c>
      <c r="AS11" s="51">
        <f ca="1">IF(OR(AP11&lt;&gt;"",AQ11&lt;&gt;""),RANK(AT11,AT$5:INDIRECT(AS$1,TRUE)),"")</f>
        <v>3</v>
      </c>
      <c r="AT11" s="71">
        <f t="shared" si="28"/>
        <v>872.14</v>
      </c>
      <c r="AU11" s="71">
        <f t="shared" si="7"/>
        <v>4396.92</v>
      </c>
      <c r="AV11" s="104">
        <f ca="1">IF(AU11&lt;&gt;"",RANK(AU11,AU$5:INDIRECT(AV$1,TRUE)),"")</f>
        <v>3</v>
      </c>
      <c r="AW11" s="111">
        <f>IF(AND('Raw Data'!P9&lt;&gt;"",'Raw Data'!P9&lt;&gt;0),ROUNDDOWN('Raw Data'!P9,Title!$M$1),"")</f>
        <v>44.21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1000</v>
      </c>
      <c r="AZ11" s="51">
        <f ca="1">IF(OR(AW11&lt;&gt;"",AX11&lt;&gt;""),RANK(BA11,BA$5:INDIRECT(AZ$1,TRUE)),"")</f>
        <v>1</v>
      </c>
      <c r="BA11" s="71">
        <f t="shared" si="29"/>
        <v>1000</v>
      </c>
      <c r="BB11" s="71">
        <f t="shared" si="8"/>
        <v>5396.92</v>
      </c>
      <c r="BC11" s="104">
        <f ca="1">IF(BB11&lt;&gt;"",RANK(BB11,BB$5:INDIRECT(BC$1,TRUE)),"")</f>
        <v>2</v>
      </c>
      <c r="BD11" s="111">
        <f>IF(AND('Raw Data'!R9&lt;&gt;"",'Raw Data'!R9&lt;&gt;0),ROUNDDOWN('Raw Data'!R9,Title!$M$1),"")</f>
        <v>49.64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774.57</v>
      </c>
      <c r="BG11" s="51">
        <f ca="1">IF(OR(BD11&lt;&gt;"",BE11&lt;&gt;""),RANK(BH11,BH$5:INDIRECT(BG$1,TRUE)),"")</f>
        <v>4</v>
      </c>
      <c r="BH11" s="71">
        <f t="shared" si="30"/>
        <v>774.57</v>
      </c>
      <c r="BI11" s="71">
        <f t="shared" si="9"/>
        <v>6181.98</v>
      </c>
      <c r="BJ11" s="104">
        <f ca="1">IF(BI11&lt;&gt;"",RANK(BI11,BI$5:INDIRECT(BJ$1,TRUE)),"")</f>
        <v>3</v>
      </c>
      <c r="BK11" s="111">
        <f>IF(AND('Raw Data'!T9&lt;&gt;"",'Raw Data'!T9&lt;&gt;0),ROUNDDOWN('Raw Data'!T9,Title!$M$1),"")</f>
        <v>39.94</v>
      </c>
      <c r="BL11" s="109">
        <f>IF(AND('Raw Data'!U9&lt;&gt;"",'Raw Data'!U9&lt;&gt;0),'Raw Data'!U9,"")</f>
      </c>
      <c r="BM11" s="97">
        <f t="shared" si="31"/>
        <v>922.38</v>
      </c>
      <c r="BN11" s="51">
        <f ca="1">IF(OR(BK11&lt;&gt;"",BL11&lt;&gt;""),RANK(BO11,BO$5:INDIRECT(BN$1,TRUE)),"")</f>
        <v>2</v>
      </c>
      <c r="BO11" s="71">
        <f t="shared" si="32"/>
        <v>922.38</v>
      </c>
      <c r="BP11" s="71">
        <f t="shared" si="10"/>
        <v>7104.36</v>
      </c>
      <c r="BQ11" s="104">
        <f ca="1">IF(BP11&lt;&gt;"",RANK(BP11,BP$5:INDIRECT(BQ$1,TRUE)),"")</f>
        <v>2</v>
      </c>
      <c r="BR11" s="111">
        <f>IF(AND('Raw Data'!V9&lt;&gt;"",'Raw Data'!V9&lt;&gt;0),ROUNDDOWN('Raw Data'!V9,Title!$M$1),"")</f>
        <v>40.91</v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  <v>869.71</v>
      </c>
      <c r="BU11" s="51">
        <f ca="1">IF(OR(BR11&lt;&gt;"",BS11&lt;&gt;""),RANK(BV11,BV$5:INDIRECT(BU$1,TRUE)),"")</f>
        <v>4</v>
      </c>
      <c r="BV11" s="71">
        <f t="shared" si="33"/>
        <v>869.71</v>
      </c>
      <c r="BW11" s="71">
        <f t="shared" si="11"/>
        <v>7974.07</v>
      </c>
      <c r="BX11" s="104">
        <f ca="1">IF(BW11&lt;&gt;"",RANK(BW11,BW$5:INDIRECT(BX$1,TRUE)),"")</f>
        <v>2</v>
      </c>
      <c r="BY11" s="111">
        <f>IF(AND('Raw Data'!X9&lt;&gt;"",'Raw Data'!X9&lt;&gt;0),ROUNDDOWN('Raw Data'!X9,Title!$M$1),"")</f>
        <v>51.65</v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  <v>653.04</v>
      </c>
      <c r="CB11" s="51">
        <f ca="1">IF(OR(BY11&lt;&gt;"",BZ11&lt;&gt;""),RANK(CC11,CC$5:INDIRECT(CB$1,TRUE)),"")</f>
        <v>3</v>
      </c>
      <c r="CC11" s="71">
        <f t="shared" si="34"/>
        <v>653.04</v>
      </c>
      <c r="CD11" s="71">
        <f t="shared" si="12"/>
        <v>8748.64</v>
      </c>
      <c r="CE11" s="104">
        <f ca="1">IF(CD11&lt;&gt;"",RANK(CD11,CD$5:INDIRECT(CE$1,TRUE)),"")</f>
        <v>3</v>
      </c>
      <c r="CF11" s="111">
        <f>IF(AND('Raw Data'!Z9&lt;&gt;"",'Raw Data'!Z9&lt;&gt;0),ROUNDDOWN('Raw Data'!Z9,Title!$M$1),"")</f>
        <v>59.87</v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  <v>821.61</v>
      </c>
      <c r="CI11" s="51">
        <f ca="1">IF(OR(CF11&lt;&gt;"",CG11&lt;&gt;""),RANK(CJ11,CJ$5:INDIRECT(CI$1,TRUE)),"")</f>
        <v>4</v>
      </c>
      <c r="CJ11" s="71">
        <f t="shared" si="35"/>
        <v>821.61</v>
      </c>
      <c r="CK11" s="71">
        <f t="shared" si="13"/>
        <v>9570.25</v>
      </c>
      <c r="CL11" s="104">
        <f ca="1">IF(CK11&lt;&gt;"",RANK(CK11,CK$5:INDIRECT(CL$1,TRUE)),"")</f>
        <v>3</v>
      </c>
      <c r="CM11" s="111">
        <f>IF(AND('Raw Data'!AB9&lt;&gt;"",'Raw Data'!AB9&lt;&gt;0),ROUNDDOWN('Raw Data'!AB9,Title!$M$1),"")</f>
        <v>45.44</v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  <v>1000</v>
      </c>
      <c r="CP11" s="51">
        <f ca="1">IF(OR(CM11&lt;&gt;"",CN11&lt;&gt;""),RANK(CQ11,CQ$5:INDIRECT(CP$1,TRUE)),"")</f>
        <v>1</v>
      </c>
      <c r="CQ11" s="71">
        <f t="shared" si="36"/>
        <v>1000</v>
      </c>
      <c r="CR11" s="71">
        <f t="shared" si="14"/>
        <v>10570.25</v>
      </c>
      <c r="CS11" s="104">
        <f ca="1">IF(CR11&lt;&gt;"",RANK(CR11,CR$5:INDIRECT(CS$1,TRUE)),"")</f>
        <v>3</v>
      </c>
      <c r="CT11" s="111">
        <f>IF(AND('Raw Data'!AD9&lt;&gt;"",'Raw Data'!AD9&lt;&gt;0),ROUNDDOWN('Raw Data'!AD9,Title!$M$1),"")</f>
        <v>49.77</v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  <v>879.84</v>
      </c>
      <c r="CW11" s="51">
        <f ca="1">IF(OR(CT11&lt;&gt;"",CU11&lt;&gt;""),RANK(CX11,CX$5:INDIRECT(CW$1,TRUE)),"")</f>
        <v>2</v>
      </c>
      <c r="CX11" s="71">
        <f t="shared" si="37"/>
        <v>879.84</v>
      </c>
      <c r="CY11" s="71">
        <f t="shared" si="15"/>
        <v>11450.09</v>
      </c>
      <c r="CZ11" s="104">
        <f ca="1">IF(CY11&lt;&gt;"",RANK(CY11,CY$5:INDIRECT(CZ$1,TRUE)),"")</f>
        <v>3</v>
      </c>
      <c r="DA11" s="111">
        <f>IF(AND('Raw Data'!AF9&lt;&gt;"",'Raw Data'!AF9&lt;&gt;0),ROUNDDOWN('Raw Data'!AF9,Title!$M$1),"")</f>
        <v>44</v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  <v>950.45</v>
      </c>
      <c r="DD11" s="51">
        <f ca="1">IF(OR(DA11&lt;&gt;"",DB11&lt;&gt;""),RANK(DE11,DE$5:INDIRECT(DD$1,TRUE)),"")</f>
        <v>2</v>
      </c>
      <c r="DE11" s="71">
        <f t="shared" si="38"/>
        <v>950.45</v>
      </c>
      <c r="DF11" s="71">
        <f t="shared" si="16"/>
        <v>11625.97</v>
      </c>
      <c r="DG11" s="104">
        <f ca="1">IF(DF11&lt;&gt;"",RANK(DF11,DF$5:INDIRECT(DG$1,TRUE)),"")</f>
        <v>3</v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$ER$11:$FF$11</v>
      </c>
      <c r="ER11" s="71">
        <f t="shared" si="45"/>
        <v>876.95</v>
      </c>
      <c r="ES11" s="71">
        <f t="shared" si="46"/>
        <v>785.06</v>
      </c>
      <c r="ET11" s="71">
        <f t="shared" si="47"/>
        <v>791.69</v>
      </c>
      <c r="EU11" s="71">
        <f t="shared" si="48"/>
        <v>958.27</v>
      </c>
      <c r="EV11" s="71">
        <f t="shared" si="49"/>
        <v>897.87</v>
      </c>
      <c r="EW11" s="71">
        <f t="shared" si="50"/>
        <v>872.14</v>
      </c>
      <c r="EX11" s="71">
        <f t="shared" si="51"/>
        <v>1000</v>
      </c>
      <c r="EY11" s="71">
        <f t="shared" si="52"/>
        <v>774.57</v>
      </c>
      <c r="EZ11" s="71">
        <f t="shared" si="53"/>
        <v>922.38</v>
      </c>
      <c r="FA11" s="71">
        <f t="shared" si="54"/>
        <v>869.71</v>
      </c>
      <c r="FB11" s="71">
        <f t="shared" si="55"/>
        <v>653.04</v>
      </c>
      <c r="FC11" s="71">
        <f t="shared" si="56"/>
        <v>821.61</v>
      </c>
      <c r="FD11" s="71">
        <f t="shared" si="57"/>
        <v>1000</v>
      </c>
      <c r="FE11" s="71">
        <f t="shared" si="58"/>
        <v>879.84</v>
      </c>
      <c r="FF11" s="71">
        <f t="shared" si="59"/>
        <v>950.45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$FM$11:$GA$11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GV11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785.06</v>
      </c>
      <c r="GL11" s="71">
        <f>GetDiscardScore($ER11:EV11,GL$1)</f>
        <v>785.06</v>
      </c>
      <c r="GM11" s="71">
        <f>GetDiscardScore($ER11:EW11,GM$1)</f>
        <v>785.06</v>
      </c>
      <c r="GN11" s="71">
        <f>GetDiscardScore($ER11:EX11,GN$1)</f>
        <v>785.06</v>
      </c>
      <c r="GO11" s="71">
        <f>GetDiscardScore($ER11:EY11,GO$1)</f>
        <v>774.57</v>
      </c>
      <c r="GP11" s="71">
        <f>GetDiscardScore($ER11:EZ11,GP$1)</f>
        <v>774.57</v>
      </c>
      <c r="GQ11" s="71">
        <f>GetDiscardScore($ER11:FA11,GQ$1)</f>
        <v>774.57</v>
      </c>
      <c r="GR11" s="71">
        <f>GetDiscardScore($ER11:FB11,GR$1)</f>
        <v>653.04</v>
      </c>
      <c r="GS11" s="71">
        <f>GetDiscardScore($ER11:FC11,GS$1)</f>
        <v>653.04</v>
      </c>
      <c r="GT11" s="71">
        <f>GetDiscardScore($ER11:FD11,GT$1)</f>
        <v>653.04</v>
      </c>
      <c r="GU11" s="71">
        <f>GetDiscardScore($ER11:FE11,GU$1)</f>
        <v>653.04</v>
      </c>
      <c r="GV11" s="71">
        <f>GetDiscardScore($ER11:FF11,GV$1)</f>
        <v>1427.6100000000001</v>
      </c>
      <c r="GW11" s="71">
        <f>GetDiscardScore($ER11:FG11,GW$1)</f>
        <v>653.04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  <v>11625.97</v>
      </c>
      <c r="HC11" s="72">
        <f ca="1">IF(HB11&lt;&gt;"",RANK(HB11,HB$5:INDIRECT(HC$1,TRUE),0),"")</f>
        <v>3</v>
      </c>
      <c r="HD11" s="70" t="str">
        <f ca="1" t="shared" si="88"/>
        <v>11,8</v>
      </c>
    </row>
    <row r="12" spans="1:212" s="51" customFormat="1" ht="11.25">
      <c r="A12" s="41">
        <v>8</v>
      </c>
      <c r="B12" s="41" t="str">
        <f>IF('Raw Data'!B10&lt;&gt;"",'Raw Data'!B10,"")</f>
        <v>Mark Treble</v>
      </c>
      <c r="C12" s="51">
        <f>IF('Raw Data'!C10&lt;&gt;"",'Raw Data'!C10,"")</f>
        <v>0</v>
      </c>
      <c r="D12" s="42">
        <f t="shared" si="22"/>
        <v>11187.05</v>
      </c>
      <c r="E12" s="69">
        <f t="shared" si="23"/>
        <v>4</v>
      </c>
      <c r="F12" s="99" t="str">
        <f t="shared" si="0"/>
        <v>11,4</v>
      </c>
      <c r="G12" s="111">
        <f>IF(AND('Raw Data'!D10&lt;&gt;"",'Raw Data'!D10&lt;&gt;0),ROUNDDOWN('Raw Data'!D10,Title!$M$1),"")</f>
        <v>38.06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1000</v>
      </c>
      <c r="J12" s="51">
        <f ca="1">IF(K12&lt;&gt;0,RANK(K12,K$5:INDIRECT(J$1,TRUE)),"")</f>
        <v>1</v>
      </c>
      <c r="K12" s="71">
        <f t="shared" si="1"/>
        <v>1000</v>
      </c>
      <c r="L12" s="71">
        <f t="shared" si="2"/>
        <v>1000</v>
      </c>
      <c r="M12" s="104">
        <f ca="1">IF(L12&lt;&gt;"",RANK(L12,L$5:INDIRECT(M$1,TRUE)),"")</f>
        <v>1</v>
      </c>
      <c r="N12" s="111">
        <f>IF(AND('Raw Data'!F10&lt;&gt;"",'Raw Data'!F10&lt;&gt;0),ROUNDDOWN('Raw Data'!F10,Title!$M$1),"")</f>
        <v>45.6</v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  <v>753.72</v>
      </c>
      <c r="Q12" s="51">
        <f ca="1">IF(OR(N12&lt;&gt;"",O12&lt;&gt;""),RANK(R12,R$5:INDIRECT(Q$1,TRUE)),"")</f>
        <v>4</v>
      </c>
      <c r="R12" s="71">
        <f t="shared" si="24"/>
        <v>753.72</v>
      </c>
      <c r="S12" s="71">
        <f t="shared" si="3"/>
        <v>1753.72</v>
      </c>
      <c r="T12" s="104">
        <f ca="1">IF(S12&lt;&gt;"",RANK(S12,S$5:INDIRECT(T$1,TRUE)),"")</f>
        <v>3</v>
      </c>
      <c r="U12" s="111">
        <f>IF(AND('Raw Data'!H10&lt;&gt;"",'Raw Data'!H10&lt;&gt;0),ROUNDDOWN('Raw Data'!H10,Title!$M$1),"")</f>
        <v>45.75</v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  <v>779.23</v>
      </c>
      <c r="X12" s="51">
        <f ca="1">IF(OR(U12&lt;&gt;"",V12&lt;&gt;""),RANK(Y12,Y$5:INDIRECT(X$1,TRUE)),"")</f>
        <v>4</v>
      </c>
      <c r="Y12" s="71">
        <f t="shared" si="25"/>
        <v>779.23</v>
      </c>
      <c r="Z12" s="71">
        <f t="shared" si="4"/>
        <v>2532.95</v>
      </c>
      <c r="AA12" s="104">
        <f ca="1">IF(Z12&lt;&gt;"",RANK(Z12,Z$5:INDIRECT(AA$1,TRUE)),"")</f>
        <v>3</v>
      </c>
      <c r="AB12" s="111">
        <f>IF(AND('Raw Data'!J10&lt;&gt;"",'Raw Data'!J10&lt;&gt;0),ROUNDDOWN('Raw Data'!J10,Title!$M$1),"")</f>
        <v>46.04</v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  <v>753.25</v>
      </c>
      <c r="AE12" s="51">
        <f ca="1">IF(OR(AB12&lt;&gt;"",AC12&lt;&gt;""),RANK(AF12,AF$5:INDIRECT(AE$1,TRUE)),"")</f>
        <v>4</v>
      </c>
      <c r="AF12" s="71">
        <f t="shared" si="26"/>
        <v>753.25</v>
      </c>
      <c r="AG12" s="71">
        <f t="shared" si="5"/>
        <v>2532.95</v>
      </c>
      <c r="AH12" s="104">
        <f ca="1">IF(AG12&lt;&gt;"",RANK(AG12,AG$5:INDIRECT(AH$1,TRUE)),"")</f>
        <v>4</v>
      </c>
      <c r="AI12" s="111">
        <f>IF(AND('Raw Data'!L10&lt;&gt;"",'Raw Data'!L10&lt;&gt;0),ROUNDDOWN('Raw Data'!L10,Title!$M$1),"")</f>
        <v>48.07</v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  <v>824.83</v>
      </c>
      <c r="AL12" s="51">
        <f ca="1">IF(OR(AI12&lt;&gt;"",AJ12&lt;&gt;""),RANK(AM12,AM$5:INDIRECT(AL$1,TRUE)),"")</f>
        <v>6</v>
      </c>
      <c r="AM12" s="71">
        <f t="shared" si="27"/>
        <v>824.83</v>
      </c>
      <c r="AN12" s="71">
        <f t="shared" si="6"/>
        <v>3357.78</v>
      </c>
      <c r="AO12" s="104">
        <f ca="1">IF(AN12&lt;&gt;"",RANK(AN12,AN$5:INDIRECT(AO$1,TRUE)),"")</f>
        <v>4</v>
      </c>
      <c r="AP12" s="111">
        <f>IF(AND('Raw Data'!N10&lt;&gt;"",'Raw Data'!N10&lt;&gt;0),ROUNDDOWN('Raw Data'!N10,Title!$M$1),"")</f>
        <v>35.95</v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  <v>1000</v>
      </c>
      <c r="AS12" s="51">
        <f ca="1">IF(OR(AP12&lt;&gt;"",AQ12&lt;&gt;""),RANK(AT12,AT$5:INDIRECT(AS$1,TRUE)),"")</f>
        <v>1</v>
      </c>
      <c r="AT12" s="71">
        <f t="shared" si="28"/>
        <v>1000</v>
      </c>
      <c r="AU12" s="71">
        <f t="shared" si="7"/>
        <v>4357.78</v>
      </c>
      <c r="AV12" s="104">
        <f ca="1">IF(AU12&lt;&gt;"",RANK(AU12,AU$5:INDIRECT(AV$1,TRUE)),"")</f>
        <v>4</v>
      </c>
      <c r="AW12" s="111">
        <f>IF(AND('Raw Data'!P10&lt;&gt;"",'Raw Data'!P10&lt;&gt;0),ROUNDDOWN('Raw Data'!P10,Title!$M$1),"")</f>
        <v>49.69</v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  <v>889.71</v>
      </c>
      <c r="AZ12" s="51">
        <f ca="1">IF(OR(AW12&lt;&gt;"",AX12&lt;&gt;""),RANK(BA12,BA$5:INDIRECT(AZ$1,TRUE)),"")</f>
        <v>5</v>
      </c>
      <c r="BA12" s="71">
        <f t="shared" si="29"/>
        <v>889.71</v>
      </c>
      <c r="BB12" s="71">
        <f t="shared" si="8"/>
        <v>5247.49</v>
      </c>
      <c r="BC12" s="104">
        <f ca="1">IF(BB12&lt;&gt;"",RANK(BB12,BB$5:INDIRECT(BC$1,TRUE)),"")</f>
        <v>4</v>
      </c>
      <c r="BD12" s="111">
        <f>IF(AND('Raw Data'!R10&lt;&gt;"",'Raw Data'!R10&lt;&gt;0),ROUNDDOWN('Raw Data'!R10,Title!$M$1),"")</f>
        <v>48.19</v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  <v>797.88</v>
      </c>
      <c r="BG12" s="51">
        <f ca="1">IF(OR(BD12&lt;&gt;"",BE12&lt;&gt;""),RANK(BH12,BH$5:INDIRECT(BG$1,TRUE)),"")</f>
        <v>3</v>
      </c>
      <c r="BH12" s="71">
        <f t="shared" si="30"/>
        <v>797.88</v>
      </c>
      <c r="BI12" s="71">
        <f t="shared" si="9"/>
        <v>6045.37</v>
      </c>
      <c r="BJ12" s="104">
        <f ca="1">IF(BI12&lt;&gt;"",RANK(BI12,BI$5:INDIRECT(BJ$1,TRUE)),"")</f>
        <v>4</v>
      </c>
      <c r="BK12" s="111">
        <f>IF(AND('Raw Data'!T10&lt;&gt;"",'Raw Data'!T10&lt;&gt;0),ROUNDDOWN('Raw Data'!T10,Title!$M$1),"")</f>
        <v>47.91</v>
      </c>
      <c r="BL12" s="109">
        <f>IF(AND('Raw Data'!U10&lt;&gt;"",'Raw Data'!U10&lt;&gt;0),'Raw Data'!U10,"")</f>
      </c>
      <c r="BM12" s="97">
        <f t="shared" si="31"/>
        <v>768.94</v>
      </c>
      <c r="BN12" s="51">
        <f ca="1">IF(OR(BK12&lt;&gt;"",BL12&lt;&gt;""),RANK(BO12,BO$5:INDIRECT(BN$1,TRUE)),"")</f>
        <v>3</v>
      </c>
      <c r="BO12" s="71">
        <f t="shared" si="32"/>
        <v>768.94</v>
      </c>
      <c r="BP12" s="71">
        <f t="shared" si="10"/>
        <v>6814.31</v>
      </c>
      <c r="BQ12" s="104">
        <f ca="1">IF(BP12&lt;&gt;"",RANK(BP12,BP$5:INDIRECT(BQ$1,TRUE)),"")</f>
        <v>4</v>
      </c>
      <c r="BR12" s="111">
        <f>IF(AND('Raw Data'!V10&lt;&gt;"",'Raw Data'!V10&lt;&gt;0),ROUNDDOWN('Raw Data'!V10,Title!$M$1),"")</f>
        <v>39.81</v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  <v>893.74</v>
      </c>
      <c r="BU12" s="51">
        <f ca="1">IF(OR(BR12&lt;&gt;"",BS12&lt;&gt;""),RANK(BV12,BV$5:INDIRECT(BU$1,TRUE)),"")</f>
        <v>2</v>
      </c>
      <c r="BV12" s="71">
        <f t="shared" si="33"/>
        <v>893.74</v>
      </c>
      <c r="BW12" s="71">
        <f t="shared" si="11"/>
        <v>7708.05</v>
      </c>
      <c r="BX12" s="104">
        <f ca="1">IF(BW12&lt;&gt;"",RANK(BW12,BW$5:INDIRECT(BX$1,TRUE)),"")</f>
        <v>4</v>
      </c>
      <c r="BY12" s="111">
        <f>IF(AND('Raw Data'!X10&lt;&gt;"",'Raw Data'!X10&lt;&gt;0),ROUNDDOWN('Raw Data'!X10,Title!$M$1),"")</f>
        <v>56.59</v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  <v>596.04</v>
      </c>
      <c r="CB12" s="51">
        <f ca="1">IF(OR(BY12&lt;&gt;"",BZ12&lt;&gt;""),RANK(CC12,CC$5:INDIRECT(CB$1,TRUE)),"")</f>
        <v>5</v>
      </c>
      <c r="CC12" s="71">
        <f t="shared" si="34"/>
        <v>596.04</v>
      </c>
      <c r="CD12" s="71">
        <f t="shared" si="12"/>
        <v>8461.3</v>
      </c>
      <c r="CE12" s="104">
        <f ca="1">IF(CD12&lt;&gt;"",RANK(CD12,CD$5:INDIRECT(CE$1,TRUE)),"")</f>
        <v>4</v>
      </c>
      <c r="CF12" s="111">
        <f>IF(AND('Raw Data'!Z10&lt;&gt;"",'Raw Data'!Z10&lt;&gt;0),ROUNDDOWN('Raw Data'!Z10,Title!$M$1),"")</f>
        <v>63.55</v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  <v>774.03</v>
      </c>
      <c r="CI12" s="51">
        <f ca="1">IF(OR(CF12&lt;&gt;"",CG12&lt;&gt;""),RANK(CJ12,CJ$5:INDIRECT(CI$1,TRUE)),"")</f>
        <v>5</v>
      </c>
      <c r="CJ12" s="71">
        <f t="shared" si="35"/>
        <v>774.03</v>
      </c>
      <c r="CK12" s="71">
        <f t="shared" si="13"/>
        <v>9235.33</v>
      </c>
      <c r="CL12" s="104">
        <f ca="1">IF(CK12&lt;&gt;"",RANK(CK12,CK$5:INDIRECT(CL$1,TRUE)),"")</f>
        <v>4</v>
      </c>
      <c r="CM12" s="111">
        <f>IF(AND('Raw Data'!AB10&lt;&gt;"",'Raw Data'!AB10&lt;&gt;0),ROUNDDOWN('Raw Data'!AB10,Title!$M$1),"")</f>
        <v>53.31</v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  <v>852.37</v>
      </c>
      <c r="CP12" s="51">
        <f ca="1">IF(OR(CM12&lt;&gt;"",CN12&lt;&gt;""),RANK(CQ12,CQ$5:INDIRECT(CP$1,TRUE)),"")</f>
        <v>4</v>
      </c>
      <c r="CQ12" s="71">
        <f t="shared" si="36"/>
        <v>852.37</v>
      </c>
      <c r="CR12" s="71">
        <f t="shared" si="14"/>
        <v>10087.7</v>
      </c>
      <c r="CS12" s="104">
        <f ca="1">IF(CR12&lt;&gt;"",RANK(CR12,CR$5:INDIRECT(CS$1,TRUE)),"")</f>
        <v>4</v>
      </c>
      <c r="CT12" s="111">
        <f>IF(AND('Raw Data'!AD10&lt;&gt;"",'Raw Data'!AD10&lt;&gt;0),ROUNDDOWN('Raw Data'!AD10,Title!$M$1),"")</f>
        <v>51.36</v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  <v>852.6</v>
      </c>
      <c r="CW12" s="51">
        <f ca="1">IF(OR(CT12&lt;&gt;"",CU12&lt;&gt;""),RANK(CX12,CX$5:INDIRECT(CW$1,TRUE)),"")</f>
        <v>4</v>
      </c>
      <c r="CX12" s="71">
        <f t="shared" si="37"/>
        <v>852.6</v>
      </c>
      <c r="CY12" s="71">
        <f t="shared" si="15"/>
        <v>10940.3</v>
      </c>
      <c r="CZ12" s="104">
        <f ca="1">IF(CY12&lt;&gt;"",RANK(CY12,CY$5:INDIRECT(CZ$1,TRUE)),"")</f>
        <v>4</v>
      </c>
      <c r="DA12" s="111">
        <f>IF(AND('Raw Data'!AF10&lt;&gt;"",'Raw Data'!AF10&lt;&gt;0),ROUNDDOWN('Raw Data'!AF10,Title!$M$1),"")</f>
        <v>41.82</v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  <v>1000</v>
      </c>
      <c r="DD12" s="51">
        <f ca="1">IF(OR(DA12&lt;&gt;"",DB12&lt;&gt;""),RANK(DE12,DE$5:INDIRECT(DD$1,TRUE)),"")</f>
        <v>1</v>
      </c>
      <c r="DE12" s="71">
        <f t="shared" si="38"/>
        <v>1000</v>
      </c>
      <c r="DF12" s="71">
        <f t="shared" si="16"/>
        <v>11187.05</v>
      </c>
      <c r="DG12" s="104">
        <f ca="1">IF(DF12&lt;&gt;"",RANK(DF12,DF$5:INDIRECT(DG$1,TRUE)),"")</f>
        <v>4</v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$ER$12:$FF$12</v>
      </c>
      <c r="ER12" s="71">
        <f t="shared" si="45"/>
        <v>1000</v>
      </c>
      <c r="ES12" s="71">
        <f t="shared" si="46"/>
        <v>753.72</v>
      </c>
      <c r="ET12" s="71">
        <f t="shared" si="47"/>
        <v>779.23</v>
      </c>
      <c r="EU12" s="71">
        <f t="shared" si="48"/>
        <v>753.25</v>
      </c>
      <c r="EV12" s="71">
        <f t="shared" si="49"/>
        <v>824.83</v>
      </c>
      <c r="EW12" s="71">
        <f t="shared" si="50"/>
        <v>1000</v>
      </c>
      <c r="EX12" s="71">
        <f t="shared" si="51"/>
        <v>889.71</v>
      </c>
      <c r="EY12" s="71">
        <f t="shared" si="52"/>
        <v>797.88</v>
      </c>
      <c r="EZ12" s="71">
        <f t="shared" si="53"/>
        <v>768.94</v>
      </c>
      <c r="FA12" s="71">
        <f t="shared" si="54"/>
        <v>893.74</v>
      </c>
      <c r="FB12" s="71">
        <f t="shared" si="55"/>
        <v>596.04</v>
      </c>
      <c r="FC12" s="71">
        <f t="shared" si="56"/>
        <v>774.03</v>
      </c>
      <c r="FD12" s="71">
        <f t="shared" si="57"/>
        <v>852.37</v>
      </c>
      <c r="FE12" s="71">
        <f t="shared" si="58"/>
        <v>852.6</v>
      </c>
      <c r="FF12" s="71">
        <f t="shared" si="59"/>
        <v>1000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$FM$12:$GA$12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GV12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753.25</v>
      </c>
      <c r="GL12" s="71">
        <f>GetDiscardScore($ER12:EV12,GL$1)</f>
        <v>753.25</v>
      </c>
      <c r="GM12" s="71">
        <f>GetDiscardScore($ER12:EW12,GM$1)</f>
        <v>753.25</v>
      </c>
      <c r="GN12" s="71">
        <f>GetDiscardScore($ER12:EX12,GN$1)</f>
        <v>753.25</v>
      </c>
      <c r="GO12" s="71">
        <f>GetDiscardScore($ER12:EY12,GO$1)</f>
        <v>753.25</v>
      </c>
      <c r="GP12" s="71">
        <f>GetDiscardScore($ER12:EZ12,GP$1)</f>
        <v>753.25</v>
      </c>
      <c r="GQ12" s="71">
        <f>GetDiscardScore($ER12:FA12,GQ$1)</f>
        <v>753.25</v>
      </c>
      <c r="GR12" s="71">
        <f>GetDiscardScore($ER12:FB12,GR$1)</f>
        <v>596.04</v>
      </c>
      <c r="GS12" s="71">
        <f>GetDiscardScore($ER12:FC12,GS$1)</f>
        <v>596.04</v>
      </c>
      <c r="GT12" s="71">
        <f>GetDiscardScore($ER12:FD12,GT$1)</f>
        <v>596.04</v>
      </c>
      <c r="GU12" s="71">
        <f>GetDiscardScore($ER12:FE12,GU$1)</f>
        <v>596.04</v>
      </c>
      <c r="GV12" s="71">
        <f>GetDiscardScore($ER12:FF12,GV$1)</f>
        <v>1349.29</v>
      </c>
      <c r="GW12" s="71">
        <f>GetDiscardScore($ER12:FG12,GW$1)</f>
        <v>596.04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  <v>11187.05</v>
      </c>
      <c r="HC12" s="72">
        <f ca="1">IF(HB12&lt;&gt;"",RANK(HB12,HB$5:INDIRECT(HC$1,TRUE),0),"")</f>
        <v>4</v>
      </c>
      <c r="HD12" s="70" t="str">
        <f ca="1" t="shared" si="88"/>
        <v>11,4</v>
      </c>
    </row>
    <row r="13" spans="1:212" s="51" customFormat="1" ht="11.2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2"/>
      </c>
      <c r="E13" s="69">
        <f t="shared" si="2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 t="shared" si="2"/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24"/>
      </c>
      <c r="S13" s="71">
        <f t="shared" si="3"/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25"/>
      </c>
      <c r="Z13" s="71">
        <f t="shared" si="4"/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26"/>
      </c>
      <c r="AG13" s="71">
        <f t="shared" si="5"/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27"/>
      </c>
      <c r="AN13" s="71">
        <f t="shared" si="6"/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28"/>
      </c>
      <c r="AU13" s="71">
        <f t="shared" si="7"/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29"/>
      </c>
      <c r="BB13" s="71">
        <f t="shared" si="8"/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30"/>
      </c>
      <c r="BI13" s="71">
        <f t="shared" si="9"/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$ER$13:$FF$13</v>
      </c>
      <c r="ER13" s="71">
        <f t="shared" si="45"/>
        <v>0</v>
      </c>
      <c r="ES13" s="71">
        <f t="shared" si="46"/>
        <v>0</v>
      </c>
      <c r="ET13" s="71">
        <f t="shared" si="47"/>
        <v>0</v>
      </c>
      <c r="EU13" s="71">
        <f t="shared" si="48"/>
        <v>0</v>
      </c>
      <c r="EV13" s="71">
        <f t="shared" si="49"/>
        <v>0</v>
      </c>
      <c r="EW13" s="71">
        <f t="shared" si="50"/>
        <v>0</v>
      </c>
      <c r="EX13" s="71">
        <f t="shared" si="51"/>
        <v>0</v>
      </c>
      <c r="EY13" s="71">
        <f t="shared" si="52"/>
        <v>0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$FM$13:$GA$13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GV13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</c>
      <c r="HC13" s="72">
        <f ca="1">IF(HB13&lt;&gt;"",RANK(HB13,HB$5:INDIRECT(HC$1,TRUE),0),"")</f>
      </c>
      <c r="HD13" s="70">
        <f ca="1" t="shared" si="88"/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$ER$14:$FF$14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$FM$14:$GA$14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GV14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2"/>
      </c>
      <c r="E15" s="75">
        <f t="shared" si="23"/>
      </c>
      <c r="F15" s="100">
        <f t="shared" si="0"/>
      </c>
      <c r="G15" s="114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 t="shared" si="2"/>
      </c>
      <c r="M15" s="105">
        <f ca="1">IF(L15&lt;&gt;"",RANK(L15,L$5:INDIRECT(M$1,TRUE)),"")</f>
      </c>
      <c r="N15" s="114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24"/>
      </c>
      <c r="S15" s="77">
        <f t="shared" si="3"/>
      </c>
      <c r="T15" s="105">
        <f ca="1">IF(S15&lt;&gt;"",RANK(S15,S$5:INDIRECT(T$1,TRUE)),"")</f>
      </c>
      <c r="U15" s="114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25"/>
      </c>
      <c r="Z15" s="77">
        <f t="shared" si="4"/>
      </c>
      <c r="AA15" s="105">
        <f ca="1">IF(Z15&lt;&gt;"",RANK(Z15,Z$5:INDIRECT(AA$1,TRUE)),"")</f>
      </c>
      <c r="AB15" s="114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26"/>
      </c>
      <c r="AG15" s="77">
        <f t="shared" si="5"/>
      </c>
      <c r="AH15" s="105">
        <f ca="1">IF(AG15&lt;&gt;"",RANK(AG15,AG$5:INDIRECT(AH$1,TRUE)),"")</f>
      </c>
      <c r="AI15" s="114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27"/>
      </c>
      <c r="AN15" s="77">
        <f t="shared" si="6"/>
      </c>
      <c r="AO15" s="105">
        <f ca="1">IF(AN15&lt;&gt;"",RANK(AN15,AN$5:INDIRECT(AO$1,TRUE)),"")</f>
      </c>
      <c r="AP15" s="114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28"/>
      </c>
      <c r="AU15" s="77">
        <f t="shared" si="7"/>
      </c>
      <c r="AV15" s="105">
        <f ca="1">IF(AU15&lt;&gt;"",RANK(AU15,AU$5:INDIRECT(AV$1,TRUE)),"")</f>
      </c>
      <c r="AW15" s="114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29"/>
      </c>
      <c r="BB15" s="77">
        <f t="shared" si="8"/>
      </c>
      <c r="BC15" s="105">
        <f ca="1">IF(BB15&lt;&gt;"",RANK(BB15,BB$5:INDIRECT(BC$1,TRUE)),"")</f>
      </c>
      <c r="BD15" s="114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30"/>
      </c>
      <c r="BI15" s="77">
        <f t="shared" si="9"/>
      </c>
      <c r="BJ15" s="105">
        <f ca="1">IF(BI15&lt;&gt;"",RANK(BI15,BI$5:INDIRECT(BJ$1,TRUE)),"")</f>
      </c>
      <c r="BK15" s="114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4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4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$ER$15:$FF$15</v>
      </c>
      <c r="ER15" s="77">
        <f t="shared" si="45"/>
        <v>0</v>
      </c>
      <c r="ES15" s="77">
        <f t="shared" si="46"/>
        <v>0</v>
      </c>
      <c r="ET15" s="77">
        <f t="shared" si="47"/>
        <v>0</v>
      </c>
      <c r="EU15" s="77">
        <f t="shared" si="48"/>
        <v>0</v>
      </c>
      <c r="EV15" s="77">
        <f t="shared" si="49"/>
        <v>0</v>
      </c>
      <c r="EW15" s="77">
        <f t="shared" si="50"/>
        <v>0</v>
      </c>
      <c r="EX15" s="77">
        <f t="shared" si="51"/>
        <v>0</v>
      </c>
      <c r="EY15" s="77">
        <f t="shared" si="52"/>
        <v>0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$FM$15:$GA$15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GV15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</c>
      <c r="HC15" s="78">
        <f ca="1">IF(HB15&lt;&gt;"",RANK(HB15,HB$5:INDIRECT(HC$1,TRUE),0),"")</f>
      </c>
      <c r="HD15" s="76">
        <f ca="1" t="shared" si="8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$ER$16:$FF$16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$FM$16:$GA$16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GV16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0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$ER$17:$FF$17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$FM$17:$GA$17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GV17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$ER$18:$FF$18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$FM$18:$GA$18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GV18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$ER$19:$FF$19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$FM$19:$GA$19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GV19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4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4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4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4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4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4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4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4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4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4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$ER$20:$FF$20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$FM$20:$GA$20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GV20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$ER$21:$FF$21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$FM$21:$GA$21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GV21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$ER$22:$FF$22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$FM$22:$GA$22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GV22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$ER$23:$FF$23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$FM$23:$GA$23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GV23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$ER$24:$FF$24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$FM$24:$GA$24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GV24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$ER$25:$FF$25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$FM$25:$GA$25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GV25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4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4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4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4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4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4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4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4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4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4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4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4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4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4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4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4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4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4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4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4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$ER$26:$FF$26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$FM$26:$GA$26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GV26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4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4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4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4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4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4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4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4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4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4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4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4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4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4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4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4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4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4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4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4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$ER$27:$FF$27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$FM$27:$GA$27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GV27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4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4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4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4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4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4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4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4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4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4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4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4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4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4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4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4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4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4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4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4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$ER$28:$FF$28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$FM$28:$GA$28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GV28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$ER$29:$FF$29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$FM$29:$GA$29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GV29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$ER$30:$FF$30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$FM$30:$GA$30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GV30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1" s="82" customFormat="1" ht="12.75">
      <c r="A31" s="80"/>
      <c r="B31" s="80"/>
      <c r="C31" s="81"/>
      <c r="D31" s="80"/>
      <c r="E31" s="80"/>
      <c r="G31" s="83"/>
      <c r="I31" s="84"/>
      <c r="L31" s="84"/>
      <c r="N31" s="85"/>
      <c r="U31" s="86"/>
      <c r="V31" s="88"/>
      <c r="W31" s="84"/>
      <c r="AB31" s="85"/>
      <c r="AC31" s="88"/>
      <c r="AI31" s="85"/>
      <c r="AP31" s="85"/>
      <c r="AW31" s="85"/>
      <c r="BD31" s="85"/>
      <c r="BK31" s="85"/>
      <c r="BR31" s="85"/>
      <c r="BY31" s="85"/>
      <c r="CF31" s="85"/>
      <c r="CM31" s="85"/>
      <c r="CT31" s="85"/>
      <c r="DA31" s="85"/>
      <c r="DH31" s="85"/>
      <c r="DO31" s="85"/>
      <c r="DV31" s="85"/>
      <c r="EC31" s="85"/>
      <c r="EJ31" s="85"/>
      <c r="HB31" s="87"/>
      <c r="HC31" s="88"/>
    </row>
    <row r="32" spans="1:211" s="54" customFormat="1" ht="11.25">
      <c r="A32" s="121" t="s">
        <v>180</v>
      </c>
      <c r="B32" s="122"/>
      <c r="C32" s="122"/>
      <c r="D32" s="122"/>
      <c r="E32" s="122"/>
      <c r="F32" s="123"/>
      <c r="G32" s="117">
        <f>IF(NumberOfRoundsFlown(Rawdata)&gt;0,MAX(G5:G30),"")</f>
        <v>57.97</v>
      </c>
      <c r="I32" s="118"/>
      <c r="L32" s="118"/>
      <c r="N32" s="119">
        <f>IF(NumberOfRoundsFlown(Rawdata)&gt;1,MAX(N5:N30),"")</f>
        <v>54.13</v>
      </c>
      <c r="U32" s="119">
        <f>IF(NumberOfRoundsFlown(Rawdata)&gt;2,MAX(U5:U30),"")</f>
        <v>53.04</v>
      </c>
      <c r="V32" s="57"/>
      <c r="W32" s="118"/>
      <c r="AB32" s="119">
        <f>IF(NumberOfRoundsFlown(Rawdata)&gt;3,MAX(AB5:AB30),"")</f>
        <v>52.66</v>
      </c>
      <c r="AC32" s="57"/>
      <c r="AI32" s="119">
        <f>IF(NumberOfRoundsFlown(Rawdata)&gt;4,MAX(AI5:AI30),"")</f>
        <v>54.72</v>
      </c>
      <c r="AP32" s="119">
        <f>IF(NumberOfRoundsFlown(Rawdata)&gt;5,MAX(AP5:AP30),"")</f>
        <v>60.71</v>
      </c>
      <c r="AW32" s="119">
        <f>IF(NumberOfRoundsFlown(Rawdata)&gt;6,MAX(AW5:AW30),"")</f>
        <v>75.71</v>
      </c>
      <c r="BD32" s="119">
        <f>IF(NumberOfRoundsFlown(Rawdata)&gt;7,MAX(BD5:BD30),"")</f>
        <v>58.7</v>
      </c>
      <c r="BK32" s="119">
        <f>IF(NumberOfRoundsFlown(Rawdata)&gt;8,MAX(BK5:BK30),"")</f>
        <v>64.62</v>
      </c>
      <c r="BR32" s="119">
        <f>IF(NumberOfRoundsFlown(Rawdata)&gt;9,MAX(BR5:BR30),"")</f>
        <v>66.93</v>
      </c>
      <c r="BY32" s="119">
        <f>IF(NumberOfRoundsFlown(Rawdata)&gt;10,MAX(BY5:BY30),"")</f>
        <v>71.1</v>
      </c>
      <c r="CF32" s="119">
        <f>IF(NumberOfRoundsFlown(Rawdata)&gt;11,MAX(CF5:CF30),"")</f>
        <v>76.87</v>
      </c>
      <c r="CM32" s="119">
        <f>IF(NumberOfRoundsFlown(Rawdata)&gt;12,MAX(CM5:CM30),"")</f>
        <v>59.82</v>
      </c>
      <c r="CT32" s="119">
        <f>IF(NumberOfRoundsFlown(Rawdata)&gt;13,MAX(CT5:CT30),"")</f>
        <v>72.54</v>
      </c>
      <c r="DA32" s="119">
        <f>IF(NumberOfRoundsFlown(Rawdata)&gt;14,MAX(DA5:DA30),"")</f>
        <v>54.82</v>
      </c>
      <c r="DH32" s="119">
        <f>IF(NumberOfRoundsFlown(Rawdata)&gt;15,MAX(DH5:DH30),"")</f>
      </c>
      <c r="DO32" s="119">
        <f>IF(NumberOfRoundsFlown(Rawdata)&gt;16,MAX(DO5:DO30),"")</f>
      </c>
      <c r="DV32" s="119">
        <f>IF(NumberOfRoundsFlown(Rawdata)&gt;17,MAX(DV5:DV30),"")</f>
      </c>
      <c r="EC32" s="119">
        <f>IF(NumberOfRoundsFlown(Rawdata)&gt;18,MAX(EC5:EC30),"")</f>
      </c>
      <c r="EJ32" s="119">
        <f>IF(NumberOfRoundsFlown(Rawdata)&gt;19,MAX(EJ5:EJ30),"")</f>
      </c>
      <c r="HB32" s="117">
        <f>IF(NumberOfRoundsFlown(Rawdata)&gt;0,MAX(G32,N32,U32,AB32,AI32,AP32,AW32,BD32,BK32,BR32,BY32,CF32,CM32,CT32,DA32,DH32,DO32,DV32,EC32,EJ32),"")</f>
        <v>76.87</v>
      </c>
      <c r="HC32" s="57"/>
    </row>
    <row r="33" spans="1:211" s="54" customFormat="1" ht="12.75">
      <c r="A33" s="121" t="s">
        <v>181</v>
      </c>
      <c r="B33" s="124"/>
      <c r="C33" s="124"/>
      <c r="D33" s="124"/>
      <c r="E33" s="124"/>
      <c r="F33" s="125"/>
      <c r="G33" s="117">
        <f>IF(NumberOfRoundsFlown(Rawdata)&gt;0,G1,"")</f>
        <v>38.06</v>
      </c>
      <c r="I33" s="118"/>
      <c r="L33" s="118"/>
      <c r="N33" s="119">
        <f>IF(NumberOfRoundsFlown(Rawdata)&gt;1,N1,"")</f>
        <v>34.37</v>
      </c>
      <c r="U33" s="119">
        <f>IF(NumberOfRoundsFlown(Rawdata)&gt;2,U1,"")</f>
        <v>35.65</v>
      </c>
      <c r="V33" s="57"/>
      <c r="W33" s="118"/>
      <c r="AB33" s="119">
        <f>IF(NumberOfRoundsFlown(Rawdata)&gt;3,AB1,"")</f>
        <v>34.68</v>
      </c>
      <c r="AC33" s="57"/>
      <c r="AI33" s="119">
        <f>IF(NumberOfRoundsFlown(Rawdata)&gt;4,AI1,"")</f>
        <v>39.65</v>
      </c>
      <c r="AP33" s="119">
        <f>IF(NumberOfRoundsFlown(Rawdata)&gt;5,AP1,"")</f>
        <v>35.95</v>
      </c>
      <c r="AW33" s="119">
        <f>IF(NumberOfRoundsFlown(Rawdata)&gt;6,AW1,"")</f>
        <v>44.21</v>
      </c>
      <c r="BD33" s="119">
        <f>IF(NumberOfRoundsFlown(Rawdata)&gt;7,BD1,"")</f>
        <v>38.45</v>
      </c>
      <c r="BK33" s="119">
        <f>IF(NumberOfRoundsFlown(Rawdata)&gt;8,BK1,"")</f>
        <v>36.84</v>
      </c>
      <c r="BR33" s="119">
        <f>IF(NumberOfRoundsFlown(Rawdata)&gt;9,BR1,"")</f>
        <v>35.58</v>
      </c>
      <c r="BY33" s="119">
        <f>IF(NumberOfRoundsFlown(Rawdata)&gt;10,BY1,"")</f>
        <v>33.73</v>
      </c>
      <c r="CF33" s="119">
        <f>IF(NumberOfRoundsFlown(Rawdata)&gt;11,CF1,"")</f>
        <v>49.19</v>
      </c>
      <c r="CM33" s="119">
        <f>IF(NumberOfRoundsFlown(Rawdata)&gt;12,CM1,"")</f>
        <v>45.44</v>
      </c>
      <c r="CT33" s="119">
        <f>IF(NumberOfRoundsFlown(Rawdata)&gt;13,CT1,"")</f>
        <v>43.79</v>
      </c>
      <c r="DA33" s="119">
        <f>IF(NumberOfRoundsFlown(Rawdata)&gt;14,DA1,"")</f>
        <v>41.82</v>
      </c>
      <c r="DH33" s="119">
        <f>IF(NumberOfRoundsFlown(Rawdata)&gt;15,DH1,"")</f>
      </c>
      <c r="DO33" s="119">
        <f>IF(NumberOfRoundsFlown(Rawdata)&gt;16,DO1,"")</f>
      </c>
      <c r="DV33" s="119">
        <f>IF(NumberOfRoundsFlown(Rawdata)&gt;17,DV1,"")</f>
      </c>
      <c r="EC33" s="119">
        <f>IF(NumberOfRoundsFlown(Rawdata)&gt;18,EC1,"")</f>
      </c>
      <c r="EJ33" s="119">
        <f>IF(NumberOfRoundsFlown(Rawdata)&gt;19,EJ1,"")</f>
      </c>
      <c r="HB33" s="117">
        <f>IF(NumberOfRoundsFlown(Rawdata)&gt;0,MIN(G33,N33,U33,AB33,AI33,AP33,AW33,BD33,BK33,BR33,BY33,CF33,CM33,CT33,DA33,DH33,DO33,DV33,EC33,EJ33),"")</f>
        <v>33.73</v>
      </c>
      <c r="HC33" s="57"/>
    </row>
    <row r="34" spans="1:211" s="54" customFormat="1" ht="12.75">
      <c r="A34" s="121" t="s">
        <v>179</v>
      </c>
      <c r="B34" s="124"/>
      <c r="C34" s="124"/>
      <c r="D34" s="124"/>
      <c r="E34" s="124"/>
      <c r="F34" s="125"/>
      <c r="G34" s="117">
        <f>IF(NumberOfRoundsFlown(Rawdata)&gt;0,SUM(G5:G30)/COUNTIF(G5:G30,"&gt;0"),"")</f>
        <v>44.787142857142854</v>
      </c>
      <c r="I34" s="118"/>
      <c r="L34" s="118"/>
      <c r="N34" s="119">
        <f>IF(NumberOfRoundsFlown(Rawdata)&gt;1,SUM(N5:N30)/COUNTIF(N5:N30,"&gt;0"),"")</f>
        <v>45.50285714285714</v>
      </c>
      <c r="S34" s="120"/>
      <c r="U34" s="119">
        <f>IF(NumberOfRoundsFlown(Rawdata)&gt;2,SUM(U5:U30)/COUNTIF(U5:U30,"&gt;0"),"")</f>
        <v>46.01285714285715</v>
      </c>
      <c r="V34" s="57"/>
      <c r="W34" s="118"/>
      <c r="AB34" s="119">
        <f>IF(NumberOfRoundsFlown(Rawdata)&gt;3,SUM(AB5:AB30)/COUNTIF(AB5:AB30,"&gt;0"),"")</f>
        <v>42.88285714285714</v>
      </c>
      <c r="AC34" s="57"/>
      <c r="AI34" s="119">
        <f>IF(NumberOfRoundsFlown(Rawdata)&gt;5,SUM(AI5:AI30)/COUNTIF(AI5:AI30,"&gt;0"),"")</f>
        <v>46.13142857142857</v>
      </c>
      <c r="AP34" s="119">
        <f>IF(NumberOfRoundsFlown(Rawdata)&gt;5,SUM(AP5:AP30)/COUNTIF(AP5:AP30,"&gt;0"),"")</f>
        <v>47.15</v>
      </c>
      <c r="AW34" s="119">
        <f>IF(NumberOfRoundsFlown(Rawdata)&gt;6,SUM(AW5:AW30)/COUNTIF(AW5:AW30,"&gt;0"),"")</f>
        <v>53.95285714285715</v>
      </c>
      <c r="BD34" s="119">
        <f>IF(NumberOfRoundsFlown(Rawdata)&gt;7,SUM(BD5:BD30)/COUNTIF(BD5:BD30,"&gt;0"),"")</f>
        <v>49.228571428571435</v>
      </c>
      <c r="BK34" s="119">
        <f>IF(NumberOfRoundsFlown(Rawdata)&gt;8,SUM(BK5:BK30)/COUNTIF(BK5:BK30,"&gt;0"),"")</f>
        <v>51.309999999999995</v>
      </c>
      <c r="BR34" s="119">
        <f>IF(NumberOfRoundsFlown(Rawdata)&gt;9,SUM(BR5:BR30)/COUNTIF(BR5:BR30,"&gt;0"),"")</f>
        <v>48.14428571428571</v>
      </c>
      <c r="BY34" s="119">
        <f>IF(NumberOfRoundsFlown(Rawdata)&gt;10,SUM(BY5:BY30)/COUNTIF(BY5:BY30,"&gt;0"),"")</f>
        <v>52.04333333333333</v>
      </c>
      <c r="CF34" s="119">
        <f>IF(NumberOfRoundsFlown(Rawdata)&gt;11,SUM(CF5:CF30)/COUNTIF(CF5:CF30,"&gt;0"),"")</f>
        <v>58.921666666666674</v>
      </c>
      <c r="CM34" s="119">
        <f>IF(NumberOfRoundsFlown(Rawdata)&gt;12,SUM(CM5:CM30)/COUNTIF(CM5:CM30,"&gt;0"),"")</f>
        <v>51.52</v>
      </c>
      <c r="CT34" s="119">
        <f>IF(NumberOfRoundsFlown(Rawdata)&gt;13,SUM(CT5:CT30)/COUNTIF(CT5:CT30,"&gt;0"),"")</f>
        <v>54.410000000000004</v>
      </c>
      <c r="DA34" s="119">
        <f>IF(NumberOfRoundsFlown(Rawdata)&gt;14,SUM(DA5:DA30)/COUNTIF(DA5:DA30,"&gt;0"),"")</f>
        <v>49.935</v>
      </c>
      <c r="DH34" s="119">
        <f>IF(NumberOfRoundsFlown(Rawdata)&gt;15,SUM(DH5:DH30)/COUNTIF(DH5:DH30,"&gt;0"),"")</f>
      </c>
      <c r="DO34" s="119">
        <f>IF(NumberOfRoundsFlown(Rawdata)&gt;16,SUM(DO5:DO30)/COUNTIF(DO5:DO30,"&gt;0"),"")</f>
      </c>
      <c r="DV34" s="119">
        <f>IF(NumberOfRoundsFlown(Rawdata)&gt;17,SUM(DV5:DV30)/COUNTIF(DV5:DV30,"&gt;0"),"")</f>
      </c>
      <c r="EC34" s="119">
        <f>IF(NumberOfRoundsFlown(Rawdata)&gt;18,SUM(EC5:EC30)/COUNTIF(EC5:EC30,"&gt;0"),"")</f>
      </c>
      <c r="EJ34" s="119">
        <f>IF(NumberOfRoundsFlown(Rawdata)&gt;19,SUM(EJ5:EJ30)/COUNTIF(EJ5:EJ30,"&gt;0"),"")</f>
      </c>
      <c r="HB34" s="117">
        <f>IF(NumberOfRoundsFlown(Rawdata)&gt;0,SUM(G34,N34,U34,AB34,AI34,AP34,AW34,BD34,BK34,BR34,BY34,CF34,CM34,CT34,DA34,DH34,DO34,DV34,EC34,EJ34)/COUNTIF(G34:EJ34,"&gt;0"),"")</f>
        <v>49.46219047619047</v>
      </c>
      <c r="HC34" s="57"/>
    </row>
  </sheetData>
  <sheetProtection password="BBB3" sheet="1" objects="1" scenarios="1"/>
  <mergeCells count="44"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  <mergeCell ref="AW2:BC2"/>
    <mergeCell ref="BD2:BJ2"/>
    <mergeCell ref="BK2:BQ2"/>
    <mergeCell ref="CT2:CZ2"/>
    <mergeCell ref="BR3:BX3"/>
    <mergeCell ref="BY3:CE3"/>
    <mergeCell ref="CF3:CL3"/>
    <mergeCell ref="CM3:CS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EJ2:EP2"/>
    <mergeCell ref="EJ3:EP3"/>
    <mergeCell ref="DO2:DU2"/>
    <mergeCell ref="DO3:DU3"/>
    <mergeCell ref="DV2:EB2"/>
    <mergeCell ref="DV3:EB3"/>
    <mergeCell ref="A32:F32"/>
    <mergeCell ref="A33:F33"/>
    <mergeCell ref="A34:F34"/>
    <mergeCell ref="EC2:EI2"/>
    <mergeCell ref="EC3:EI3"/>
    <mergeCell ref="AP3:AV3"/>
    <mergeCell ref="AW3:BC3"/>
    <mergeCell ref="BD3:BJ3"/>
    <mergeCell ref="CT3:CZ3"/>
    <mergeCell ref="BK3:BQ3"/>
  </mergeCells>
  <conditionalFormatting sqref="HC5:HC30 B5:E5 E6:E30 C6:C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99-COUNTIF(Results!B5:B30,"")</f>
        <v>81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MATCH(ROW()-1,Results!E$5:E$30,0)</f>
        <v>5</v>
      </c>
      <c r="B2" s="37">
        <f ca="1">IF(ISNA(A2),"",INDIRECT("Results!R"&amp;4+A2&amp;"C5",FALSE))</f>
        <v>1</v>
      </c>
      <c r="C2" s="37" t="str">
        <f ca="1">IF(ISNA(A2),"",INDIRECT("Results!R"&amp;4+A2&amp;"C2",FALSE))</f>
        <v>Mark Redsell</v>
      </c>
      <c r="D2" s="38">
        <f ca="1">IF(ISNA(A2),"",INDIRECT("Results!R"&amp;4+A2&amp;"C4",FALSE))</f>
        <v>12659.41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IF(ISNA(MATCH(ROW()-1,Results!E$5:E$30,0)),MATCH(D2,OFFSET(Results!D$5:D$30,'Leader Board'!A2,0,$A$1),0)+A2,MATCH(ROW()-1,Results!E$5:E$30,0))</f>
        <v>2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Rich Baygo</v>
      </c>
      <c r="D3" s="40">
        <f aca="true" ca="1" t="shared" si="2" ref="D3:D66">IF(ISNA(A3),"",INDIRECT("Results!R"&amp;4+A3&amp;"C4",FALSE))</f>
        <v>11699.55</v>
      </c>
      <c r="E3" s="38">
        <f>IF(OR(ISNA(A3),$D$2=0),"",IF(Title!$K$1=0,ROUNDDOWN((D3/D$2)*1000,2),ROUND((D3/D$2)*1000,2)))</f>
        <v>924.17</v>
      </c>
    </row>
    <row r="4" spans="1:5" ht="12.75">
      <c r="A4" s="46">
        <f ca="1">IF(ISNA(MATCH(ROW()-1,Results!E$5:E$30,0)),MATCH(D3,OFFSET(Results!D$5:D$30,'Leader Board'!A3,0,$A$1),0)+A3,MATCH(ROW()-1,Results!E$5:E$30,0))</f>
        <v>7</v>
      </c>
      <c r="B4" s="39">
        <f ca="1" t="shared" si="0"/>
        <v>3</v>
      </c>
      <c r="C4" s="39" t="str">
        <f ca="1" t="shared" si="1"/>
        <v>Steve Hayley</v>
      </c>
      <c r="D4" s="40">
        <f ca="1" t="shared" si="2"/>
        <v>11625.97</v>
      </c>
      <c r="E4" s="38">
        <f>IF(OR(ISNA(A4),$D$2=0),"",IF(Title!$K$1=0,ROUNDDOWN((D4/D$2)*1000,2),ROUND((D4/D$2)*1000,2)))</f>
        <v>918.36</v>
      </c>
    </row>
    <row r="5" spans="1:5" ht="12.75">
      <c r="A5" s="46">
        <f ca="1">IF(ISNA(MATCH(ROW()-1,Results!E$5:E$30,0)),MATCH(D4,OFFSET(Results!D$5:D$30,'Leader Board'!A4,0,$A$1),0)+A4,MATCH(ROW()-1,Results!E$5:E$30,0))</f>
        <v>8</v>
      </c>
      <c r="B5" s="41">
        <f ca="1" t="shared" si="0"/>
        <v>4</v>
      </c>
      <c r="C5" s="41" t="str">
        <f ca="1" t="shared" si="1"/>
        <v>Mark Treble</v>
      </c>
      <c r="D5" s="42">
        <f ca="1" t="shared" si="2"/>
        <v>11187.05</v>
      </c>
      <c r="E5" s="96">
        <f>IF(OR(ISNA(A5),$D$2=0),"",IF(Title!$K$1=0,ROUNDDOWN((D5/D$2)*1000,2),ROUND((D5/D$2)*1000,2)))</f>
        <v>883.69</v>
      </c>
    </row>
    <row r="6" spans="1:5" ht="12.75">
      <c r="A6" s="46">
        <f ca="1">IF(ISNA(MATCH(ROW()-1,Results!E$5:E$30,0)),MATCH(D5,OFFSET(Results!D$5:D$30,'Leader Board'!A5,0,$A$1),0)+A5,MATCH(ROW()-1,Results!E$5:E$30,0))</f>
        <v>1</v>
      </c>
      <c r="B6" s="41">
        <f ca="1" t="shared" si="0"/>
        <v>5</v>
      </c>
      <c r="C6" s="41" t="str">
        <f ca="1" t="shared" si="1"/>
        <v>Ron Lampi</v>
      </c>
      <c r="D6" s="42">
        <f ca="1" t="shared" si="2"/>
        <v>10350.26</v>
      </c>
      <c r="E6" s="96">
        <f>IF(OR(ISNA(A6),$D$2=0),"",IF(Title!$K$1=0,ROUNDDOWN((D6/D$2)*1000,2),ROUND((D6/D$2)*1000,2)))</f>
        <v>817.59</v>
      </c>
    </row>
    <row r="7" spans="1:5" ht="12.75">
      <c r="A7" s="46">
        <f ca="1">IF(ISNA(MATCH(ROW()-1,Results!E$5:E$30,0)),MATCH(D6,OFFSET(Results!D$5:D$30,'Leader Board'!A6,0,$A$1),0)+A6,MATCH(ROW()-1,Results!E$5:E$30,0))</f>
        <v>4</v>
      </c>
      <c r="B7" s="41">
        <f ca="1" t="shared" si="0"/>
        <v>6</v>
      </c>
      <c r="C7" s="41" t="str">
        <f ca="1" t="shared" si="1"/>
        <v>Jon Edison</v>
      </c>
      <c r="D7" s="42">
        <f ca="1" t="shared" si="2"/>
        <v>9250.53</v>
      </c>
      <c r="E7" s="96">
        <f>IF(OR(ISNA(A7),$D$2=0),"",IF(Title!$K$1=0,ROUNDDOWN((D7/D$2)*1000,2),ROUND((D7/D$2)*1000,2)))</f>
        <v>730.72</v>
      </c>
    </row>
    <row r="8" spans="1:5" ht="12.75">
      <c r="A8" s="46">
        <f ca="1">IF(ISNA(MATCH(ROW()-1,Results!E$5:E$30,0)),MATCH(D7,OFFSET(Results!D$5:D$30,'Leader Board'!A7,0,$A$1),0)+A7,MATCH(ROW()-1,Results!E$5:E$30,0))</f>
        <v>6</v>
      </c>
      <c r="B8" s="39">
        <f ca="1" t="shared" si="0"/>
        <v>7</v>
      </c>
      <c r="C8" s="39" t="str">
        <f ca="1" t="shared" si="1"/>
        <v>Bob Dickenson</v>
      </c>
      <c r="D8" s="40">
        <f ca="1" t="shared" si="2"/>
        <v>6356.93</v>
      </c>
      <c r="E8" s="38">
        <f>IF(OR(ISNA(A8),$D$2=0),"",IF(Title!$K$1=0,ROUNDDOWN((D8/D$2)*1000,2),ROUND((D8/D$2)*1000,2)))</f>
        <v>502.15</v>
      </c>
    </row>
    <row r="9" spans="1:5" ht="12.75">
      <c r="A9" s="46" t="e">
        <f ca="1">IF(ISNA(MATCH(ROW()-1,Results!E$5:E$30,0)),MATCH(D8,OFFSET(Results!D$5:D$30,'Leader Board'!A8,0,$A$1),0)+A8,MATCH(ROW()-1,Results!E$5:E$30,0))</f>
        <v>#N/A</v>
      </c>
      <c r="B9" s="39">
        <f ca="1" t="shared" si="0"/>
      </c>
      <c r="C9" s="39">
        <f ca="1" t="shared" si="1"/>
      </c>
      <c r="D9" s="40">
        <f ca="1" t="shared" si="2"/>
      </c>
      <c r="E9" s="38">
        <f>IF(OR(ISNA(A9),$D$2=0),"",IF(Title!$K$1=0,ROUNDDOWN((D9/D$2)*1000,2),ROUND((D9/D$2)*1000,2)))</f>
      </c>
    </row>
    <row r="10" spans="1:5" ht="12.75">
      <c r="A10" s="46" t="e">
        <f ca="1">IF(ISNA(MATCH(ROW()-1,Results!E$5:E$30,0)),MATCH(D9,OFFSET(Results!D$5:D$30,'Leader Board'!A9,0,$A$1),0)+A9,MATCH(ROW()-1,Results!E$5:E$30,0))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IF(ISNA(MATCH(ROW()-1,Results!E$5:E$30,0)),MATCH(D10,OFFSET(Results!D$5:D$30,'Leader Board'!A10,0,$A$1),0)+A10,MATCH(ROW()-1,Results!E$5:E$30,0))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>
        <f ca="1">IF(ISNA(MATCH(ROW()-1,Results!E$5:E$30,0)),MATCH(D11,OFFSET(Results!D$5:D$30,'Leader Board'!A11,0,$A$1),0)+A11,MATCH(ROW()-1,Results!E$5:E$30,0))</f>
        <v>3</v>
      </c>
      <c r="B12" s="41">
        <f ca="1" t="shared" si="0"/>
        <v>11</v>
      </c>
      <c r="C12" s="41" t="str">
        <f ca="1" t="shared" si="1"/>
        <v>Brian Johnson</v>
      </c>
      <c r="D12" s="42">
        <f ca="1" t="shared" si="2"/>
        <v>0</v>
      </c>
      <c r="E12" s="96">
        <f>IF(OR(ISNA(A12),$D$2=0),"",IF(Title!$K$1=0,ROUNDDOWN((D12/D$2)*1000,2),ROUND((D12/D$2)*1000,2)))</f>
        <v>0</v>
      </c>
    </row>
    <row r="13" spans="1:5" ht="12.75">
      <c r="A13" s="46" t="e">
        <f ca="1">IF(ISNA(MATCH(ROW()-1,Results!E$5:E$30,0)),MATCH(D12,OFFSET(Results!D$5:D$30,'Leader Board'!A12,0,$A$1),0)+A12,MATCH(ROW()-1,Results!E$5:E$30,0))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IF(ISNA(MATCH(ROW()-1,Results!E$5:E$30,0)),MATCH(D13,OFFSET(Results!D$5:D$30,'Leader Board'!A13,0,$A$1),0)+A13,MATCH(ROW()-1,Results!E$5:E$30,0))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IF(ISNA(MATCH(ROW()-1,Results!E$5:E$30,0)),MATCH(D14,OFFSET(Results!D$5:D$30,'Leader Board'!A14,0,$A$1),0)+A14,MATCH(ROW()-1,Results!E$5:E$30,0))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IF(ISNA(MATCH(ROW()-1,Results!E$5:E$30,0)),MATCH(D15,OFFSET(Results!D$5:D$30,'Leader Board'!A15,0,$A$1),0)+A15,MATCH(ROW()-1,Results!E$5:E$30,0))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IF(ISNA(MATCH(ROW()-1,Results!E$5:E$30,0)),MATCH(D16,OFFSET(Results!D$5:D$30,'Leader Board'!A16,0,$A$1),0)+A16,MATCH(ROW()-1,Results!E$5:E$30,0))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IF(ISNA(MATCH(ROW()-1,Results!E$5:E$30,0)),MATCH(D17,OFFSET(Results!D$5:D$30,'Leader Board'!A17,0,$A$1),0)+A17,MATCH(ROW()-1,Results!E$5:E$30,0))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IF(ISNA(MATCH(ROW()-1,Results!E$5:E$30,0)),MATCH(D18,OFFSET(Results!D$5:D$30,'Leader Board'!A18,0,$A$1),0)+A18,MATCH(ROW()-1,Results!E$5:E$30,0))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IF(ISNA(MATCH(ROW()-1,Results!E$5:E$30,0)),MATCH(D19,OFFSET(Results!D$5:D$30,'Leader Board'!A19,0,$A$1),0)+A19,MATCH(ROW()-1,Results!E$5:E$30,0))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IF(ISNA(MATCH(ROW()-1,Results!E$5:E$30,0)),MATCH(D20,OFFSET(Results!D$5:D$30,'Leader Board'!A20,0,$A$1),0)+A20,MATCH(ROW()-1,Results!E$5:E$30,0))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IF(ISNA(MATCH(ROW()-1,Results!E$5:E$30,0)),MATCH(D21,OFFSET(Results!D$5:D$30,'Leader Board'!A21,0,$A$1),0)+A21,MATCH(ROW()-1,Results!E$5:E$30,0))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IF(ISNA(MATCH(ROW()-1,Results!E$5:E$30,0)),MATCH(D22,OFFSET(Results!D$5:D$30,'Leader Board'!A22,0,$A$1),0)+A22,MATCH(ROW()-1,Results!E$5:E$30,0))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IF(ISNA(MATCH(ROW()-1,Results!E$5:E$30,0)),MATCH(D23,OFFSET(Results!D$5:D$30,'Leader Board'!A23,0,$A$1),0)+A23,MATCH(ROW()-1,Results!E$5:E$30,0))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IF(ISNA(MATCH(ROW()-1,Results!E$5:E$30,0)),MATCH(D24,OFFSET(Results!D$5:D$30,'Leader Board'!A24,0,$A$1),0)+A24,MATCH(ROW()-1,Results!E$5:E$30,0))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IF(ISNA(MATCH(ROW()-1,Results!E$5:E$30,0)),MATCH(D25,OFFSET(Results!D$5:D$30,'Leader Board'!A25,0,$A$1),0)+A25,MATCH(ROW()-1,Results!E$5:E$30,0))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IF(ISNA(MATCH(ROW()-1,Results!E$5:E$30,0)),MATCH(D26,OFFSET(Results!D$5:D$30,'Leader Board'!A26,0,$A$1),0)+A26,MATCH(ROW()-1,Results!E$5:E$30,0))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IF(ISNA(MATCH(ROW()-1,Results!E$5:E$30,0)),MATCH(D27,OFFSET(Results!D$5:D$30,'Leader Board'!A27,0,$A$1),0)+A27,MATCH(ROW()-1,Results!E$5:E$30,0))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IF(ISNA(MATCH(ROW()-1,Results!E$5:E$30,0)),MATCH(D28,OFFSET(Results!D$5:D$30,'Leader Board'!A28,0,$A$1),0)+A28,MATCH(ROW()-1,Results!E$5:E$30,0))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IF(ISNA(MATCH(ROW()-1,Results!E$5:E$30,0)),MATCH(D29,OFFSET(Results!D$5:D$30,'Leader Board'!A29,0,$A$1),0)+A29,MATCH(ROW()-1,Results!E$5:E$30,0))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IF(ISNA(MATCH(ROW()-1,Results!E$5:E$30,0)),MATCH(D30,OFFSET(Results!D$5:D$30,'Leader Board'!A30,0,$A$1),0)+A30,MATCH(ROW()-1,Results!E$5:E$30,0))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IF(ISNA(MATCH(ROW()-1,Results!E$5:E$30,0)),MATCH(D31,OFFSET(Results!D$5:D$30,'Leader Board'!A31,0,$A$1),0)+A31,MATCH(ROW()-1,Results!E$5:E$30,0))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IF(ISNA(MATCH(ROW()-1,Results!E$5:E$30,0)),MATCH(D32,OFFSET(Results!D$5:D$30,'Leader Board'!A32,0,$A$1),0)+A32,MATCH(ROW()-1,Results!E$5:E$30,0))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IF(ISNA(MATCH(ROW()-1,Results!E$5:E$30,0)),MATCH(D33,OFFSET(Results!D$5:D$30,'Leader Board'!A33,0,$A$1),0)+A33,MATCH(ROW()-1,Results!E$5:E$30,0))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IF(ISNA(MATCH(ROW()-1,Results!E$5:E$30,0)),MATCH(D34,OFFSET(Results!D$5:D$30,'Leader Board'!A34,0,$A$1),0)+A34,MATCH(ROW()-1,Results!E$5:E$30,0))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IF(ISNA(MATCH(ROW()-1,Results!E$5:E$30,0)),MATCH(D35,OFFSET(Results!D$5:D$30,'Leader Board'!A35,0,$A$1),0)+A35,MATCH(ROW()-1,Results!E$5:E$30,0))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IF(ISNA(MATCH(ROW()-1,Results!E$5:E$30,0)),MATCH(D36,OFFSET(Results!D$5:D$30,'Leader Board'!A36,0,$A$1),0)+A36,MATCH(ROW()-1,Results!E$5:E$30,0))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IF(ISNA(MATCH(ROW()-1,Results!E$5:E$30,0)),MATCH(D37,OFFSET(Results!D$5:D$30,'Leader Board'!A37,0,$A$1),0)+A37,MATCH(ROW()-1,Results!E$5:E$30,0))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IF(ISNA(MATCH(ROW()-1,Results!E$5:E$30,0)),MATCH(D38,OFFSET(Results!D$5:D$30,'Leader Board'!A38,0,$A$1),0)+A38,MATCH(ROW()-1,Results!E$5:E$30,0))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IF(ISNA(MATCH(ROW()-1,Results!E$5:E$30,0)),MATCH(D39,OFFSET(Results!D$5:D$30,'Leader Board'!A39,0,$A$1),0)+A39,MATCH(ROW()-1,Results!E$5:E$30,0))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IF(ISNA(MATCH(ROW()-1,Results!E$5:E$30,0)),MATCH(D40,OFFSET(Results!D$5:D$30,'Leader Board'!A40,0,$A$1),0)+A40,MATCH(ROW()-1,Results!E$5:E$30,0))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IF(ISNA(MATCH(ROW()-1,Results!E$5:E$30,0)),MATCH(D41,OFFSET(Results!D$5:D$30,'Leader Board'!A41,0,$A$1),0)+A41,MATCH(ROW()-1,Results!E$5:E$30,0))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IF(ISNA(MATCH(ROW()-1,Results!E$5:E$30,0)),MATCH(D42,OFFSET(Results!D$5:D$30,'Leader Board'!A42,0,$A$1),0)+A42,MATCH(ROW()-1,Results!E$5:E$30,0))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IF(ISNA(MATCH(ROW()-1,Results!E$5:E$30,0)),MATCH(D43,OFFSET(Results!D$5:D$30,'Leader Board'!A43,0,$A$1),0)+A43,MATCH(ROW()-1,Results!E$5:E$30,0))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IF(ISNA(MATCH(ROW()-1,Results!E$5:E$30,0)),MATCH(D44,OFFSET(Results!D$5:D$30,'Leader Board'!A44,0,$A$1),0)+A44,MATCH(ROW()-1,Results!E$5:E$30,0))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IF(ISNA(MATCH(ROW()-1,Results!E$5:E$30,0)),MATCH(D45,OFFSET(Results!D$5:D$30,'Leader Board'!A45,0,$A$1),0)+A45,MATCH(ROW()-1,Results!E$5:E$30,0))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IF(ISNA(MATCH(ROW()-1,Results!E$5:E$30,0)),MATCH(D46,OFFSET(Results!D$5:D$30,'Leader Board'!A46,0,$A$1),0)+A46,MATCH(ROW()-1,Results!E$5:E$30,0))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IF(ISNA(MATCH(ROW()-1,Results!E$5:E$30,0)),MATCH(D47,OFFSET(Results!D$5:D$30,'Leader Board'!A47,0,$A$1),0)+A47,MATCH(ROW()-1,Results!E$5:E$30,0))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IF(ISNA(MATCH(ROW()-1,Results!E$5:E$30,0)),MATCH(D48,OFFSET(Results!D$5:D$30,'Leader Board'!A48,0,$A$1),0)+A48,MATCH(ROW()-1,Results!E$5:E$30,0))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IF(ISNA(MATCH(ROW()-1,Results!E$5:E$30,0)),MATCH(D49,OFFSET(Results!D$5:D$30,'Leader Board'!A49,0,$A$1),0)+A49,MATCH(ROW()-1,Results!E$5:E$30,0))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IF(ISNA(MATCH(ROW()-1,Results!E$5:E$30,0)),MATCH(D50,OFFSET(Results!D$5:D$30,'Leader Board'!A50,0,$A$1),0)+A50,MATCH(ROW()-1,Results!E$5:E$30,0))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IF(ISNA(MATCH(ROW()-1,Results!E$5:E$30,0)),MATCH(D51,OFFSET(Results!D$5:D$30,'Leader Board'!A51,0,$A$1),0)+A51,MATCH(ROW()-1,Results!E$5:E$30,0))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IF(ISNA(MATCH(ROW()-1,Results!E$5:E$30,0)),MATCH(D52,OFFSET(Results!D$5:D$30,'Leader Board'!A52,0,$A$1),0)+A52,MATCH(ROW()-1,Results!E$5:E$30,0))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IF(ISNA(MATCH(ROW()-1,Results!E$5:E$30,0)),MATCH(D53,OFFSET(Results!D$5:D$30,'Leader Board'!A53,0,$A$1),0)+A53,MATCH(ROW()-1,Results!E$5:E$30,0))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IF(ISNA(MATCH(ROW()-1,Results!E$5:E$30,0)),MATCH(D54,OFFSET(Results!D$5:D$30,'Leader Board'!A54,0,$A$1),0)+A54,MATCH(ROW()-1,Results!E$5:E$30,0))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IF(ISNA(MATCH(ROW()-1,Results!E$5:E$30,0)),MATCH(D55,OFFSET(Results!D$5:D$30,'Leader Board'!A55,0,$A$1),0)+A55,MATCH(ROW()-1,Results!E$5:E$30,0))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IF(ISNA(MATCH(ROW()-1,Results!E$5:E$30,0)),MATCH(D56,OFFSET(Results!D$5:D$30,'Leader Board'!A56,0,$A$1),0)+A56,MATCH(ROW()-1,Results!E$5:E$30,0))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IF(ISNA(MATCH(ROW()-1,Results!E$5:E$30,0)),MATCH(D57,OFFSET(Results!D$5:D$30,'Leader Board'!A57,0,$A$1),0)+A57,MATCH(ROW()-1,Results!E$5:E$30,0))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IF(ISNA(MATCH(ROW()-1,Results!E$5:E$30,0)),MATCH(D58,OFFSET(Results!D$5:D$30,'Leader Board'!A58,0,$A$1),0)+A58,MATCH(ROW()-1,Results!E$5:E$30,0))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IF(ISNA(MATCH(ROW()-1,Results!E$5:E$30,0)),MATCH(D59,OFFSET(Results!D$5:D$30,'Leader Board'!A59,0,$A$1),0)+A59,MATCH(ROW()-1,Results!E$5:E$30,0))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IF(ISNA(MATCH(ROW()-1,Results!E$5:E$30,0)),MATCH(D60,OFFSET(Results!D$5:D$30,'Leader Board'!A60,0,$A$1),0)+A60,MATCH(ROW()-1,Results!E$5:E$30,0))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IF(ISNA(MATCH(ROW()-1,Results!E$5:E$30,0)),MATCH(D61,OFFSET(Results!D$5:D$30,'Leader Board'!A61,0,$A$1),0)+A61,MATCH(ROW()-1,Results!E$5:E$30,0))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IF(ISNA(MATCH(ROW()-1,Results!E$5:E$30,0)),MATCH(D62,OFFSET(Results!D$5:D$30,'Leader Board'!A62,0,$A$1),0)+A62,MATCH(ROW()-1,Results!E$5:E$30,0))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IF(ISNA(MATCH(ROW()-1,Results!E$5:E$30,0)),MATCH(D63,OFFSET(Results!D$5:D$30,'Leader Board'!A63,0,$A$1),0)+A63,MATCH(ROW()-1,Results!E$5:E$30,0))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IF(ISNA(MATCH(ROW()-1,Results!E$5:E$30,0)),MATCH(D64,OFFSET(Results!D$5:D$30,'Leader Board'!A64,0,$A$1),0)+A64,MATCH(ROW()-1,Results!E$5:E$30,0))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IF(ISNA(MATCH(ROW()-1,Results!E$5:E$30,0)),MATCH(D65,OFFSET(Results!D$5:D$30,'Leader Board'!A65,0,$A$1),0)+A65,MATCH(ROW()-1,Results!E$5:E$30,0))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IF(ISNA(MATCH(ROW()-1,Results!E$5:E$30,0)),MATCH(D66,OFFSET(Results!D$5:D$30,'Leader Board'!A66,0,$A$1),0)+A66,MATCH(ROW()-1,Results!E$5:E$30,0))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IF(ISNA(MATCH(ROW()-1,Results!E$5:E$30,0)),MATCH(D67,OFFSET(Results!D$5:D$30,'Leader Board'!A67,0,$A$1),0)+A67,MATCH(ROW()-1,Results!E$5:E$30,0))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IF(ISNA(MATCH(ROW()-1,Results!E$5:E$30,0)),MATCH(D68,OFFSET(Results!D$5:D$30,'Leader Board'!A68,0,$A$1),0)+A68,MATCH(ROW()-1,Results!E$5:E$30,0))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IF(ISNA(MATCH(ROW()-1,Results!E$5:E$30,0)),MATCH(D69,OFFSET(Results!D$5:D$30,'Leader Board'!A69,0,$A$1),0)+A69,MATCH(ROW()-1,Results!E$5:E$30,0))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IF(ISNA(MATCH(ROW()-1,Results!E$5:E$30,0)),MATCH(D70,OFFSET(Results!D$5:D$30,'Leader Board'!A70,0,$A$1),0)+A70,MATCH(ROW()-1,Results!E$5:E$30,0))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IF(ISNA(MATCH(ROW()-1,Results!E$5:E$30,0)),MATCH(D71,OFFSET(Results!D$5:D$30,'Leader Board'!A71,0,$A$1),0)+A71,MATCH(ROW()-1,Results!E$5:E$30,0))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IF(ISNA(MATCH(ROW()-1,Results!E$5:E$30,0)),MATCH(D72,OFFSET(Results!D$5:D$30,'Leader Board'!A72,0,$A$1),0)+A72,MATCH(ROW()-1,Results!E$5:E$30,0))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IF(ISNA(MATCH(ROW()-1,Results!E$5:E$30,0)),MATCH(D73,OFFSET(Results!D$5:D$30,'Leader Board'!A73,0,$A$1),0)+A73,MATCH(ROW()-1,Results!E$5:E$30,0))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IF(ISNA(MATCH(ROW()-1,Results!E$5:E$30,0)),MATCH(D74,OFFSET(Results!D$5:D$30,'Leader Board'!A74,0,$A$1),0)+A74,MATCH(ROW()-1,Results!E$5:E$30,0))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IF(ISNA(MATCH(ROW()-1,Results!E$5:E$30,0)),MATCH(D75,OFFSET(Results!D$5:D$30,'Leader Board'!A75,0,$A$1),0)+A75,MATCH(ROW()-1,Results!E$5:E$30,0))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IF(ISNA(MATCH(ROW()-1,Results!E$5:E$30,0)),MATCH(D76,OFFSET(Results!D$5:D$30,'Leader Board'!A76,0,$A$1),0)+A76,MATCH(ROW()-1,Results!E$5:E$30,0))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IF(ISNA(MATCH(ROW()-1,Results!E$5:E$30,0)),MATCH(D77,OFFSET(Results!D$5:D$30,'Leader Board'!A77,0,$A$1),0)+A77,MATCH(ROW()-1,Results!E$5:E$30,0))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IF(ISNA(MATCH(ROW()-1,Results!E$5:E$30,0)),MATCH(D78,OFFSET(Results!D$5:D$30,'Leader Board'!A78,0,$A$1),0)+A78,MATCH(ROW()-1,Results!E$5:E$30,0))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IF(ISNA(MATCH(ROW()-1,Results!E$5:E$30,0)),MATCH(D79,OFFSET(Results!D$5:D$30,'Leader Board'!A79,0,$A$1),0)+A79,MATCH(ROW()-1,Results!E$5:E$30,0))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IF(ISNA(MATCH(ROW()-1,Results!E$5:E$30,0)),MATCH(D80,OFFSET(Results!D$5:D$30,'Leader Board'!A80,0,$A$1),0)+A80,MATCH(ROW()-1,Results!E$5:E$30,0))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IF(ISNA(MATCH(ROW()-1,Results!E$5:E$30,0)),MATCH(D81,OFFSET(Results!D$5:D$30,'Leader Board'!A81,0,$A$1),0)+A81,MATCH(ROW()-1,Results!E$5:E$30,0))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IF(ISNA(MATCH(ROW()-1,Results!E$5:E$30,0)),MATCH(D82,OFFSET(Results!D$5:D$30,'Leader Board'!A82,0,$A$1),0)+A82,MATCH(ROW()-1,Results!E$5:E$30,0))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IF(ISNA(MATCH(ROW()-1,Results!E$5:E$30,0)),MATCH(D83,OFFSET(Results!D$5:D$30,'Leader Board'!A83,0,$A$1),0)+A83,MATCH(ROW()-1,Results!E$5:E$30,0))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IF(ISNA(MATCH(ROW()-1,Results!E$5:E$30,0)),MATCH(D84,OFFSET(Results!D$5:D$30,'Leader Board'!A84,0,$A$1),0)+A84,MATCH(ROW()-1,Results!E$5:E$30,0))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IF(ISNA(MATCH(ROW()-1,Results!E$5:E$30,0)),MATCH(D85,OFFSET(Results!D$5:D$30,'Leader Board'!A85,0,$A$1),0)+A85,MATCH(ROW()-1,Results!E$5:E$30,0))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IF(ISNA(MATCH(ROW()-1,Results!E$5:E$30,0)),MATCH(D86,OFFSET(Results!D$5:D$30,'Leader Board'!A86,0,$A$1),0)+A86,MATCH(ROW()-1,Results!E$5:E$30,0))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IF(ISNA(MATCH(ROW()-1,Results!E$5:E$30,0)),MATCH(D87,OFFSET(Results!D$5:D$30,'Leader Board'!A87,0,$A$1),0)+A87,MATCH(ROW()-1,Results!E$5:E$30,0))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IF(ISNA(MATCH(ROW()-1,Results!E$5:E$30,0)),MATCH(D88,OFFSET(Results!D$5:D$30,'Leader Board'!A88,0,$A$1),0)+A88,MATCH(ROW()-1,Results!E$5:E$30,0))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IF(ISNA(MATCH(ROW()-1,Results!E$5:E$30,0)),MATCH(D89,OFFSET(Results!D$5:D$30,'Leader Board'!A89,0,$A$1),0)+A89,MATCH(ROW()-1,Results!E$5:E$30,0))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IF(ISNA(MATCH(ROW()-1,Results!E$5:E$30,0)),MATCH(D90,OFFSET(Results!D$5:D$30,'Leader Board'!A90,0,$A$1),0)+A90,MATCH(ROW()-1,Results!E$5:E$30,0))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IF(ISNA(MATCH(ROW()-1,Results!E$5:E$30,0)),MATCH(D91,OFFSET(Results!D$5:D$30,'Leader Board'!A91,0,$A$1),0)+A91,MATCH(ROW()-1,Results!E$5:E$30,0))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IF(ISNA(MATCH(ROW()-1,Results!E$5:E$30,0)),MATCH(D92,OFFSET(Results!D$5:D$30,'Leader Board'!A92,0,$A$1),0)+A92,MATCH(ROW()-1,Results!E$5:E$30,0))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IF(ISNA(MATCH(ROW()-1,Results!E$5:E$30,0)),MATCH(D93,OFFSET(Results!D$5:D$30,'Leader Board'!A93,0,$A$1),0)+A93,MATCH(ROW()-1,Results!E$5:E$30,0))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IF(ISNA(MATCH(ROW()-1,Results!E$5:E$30,0)),MATCH(D94,OFFSET(Results!D$5:D$30,'Leader Board'!A94,0,$A$1),0)+A94,MATCH(ROW()-1,Results!E$5:E$30,0))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IF(ISNA(MATCH(ROW()-1,Results!E$5:E$30,0)),MATCH(D95,OFFSET(Results!D$5:D$30,'Leader Board'!A95,0,$A$1),0)+A95,MATCH(ROW()-1,Results!E$5:E$30,0))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IF(ISNA(MATCH(ROW()-1,Results!E$5:E$30,0)),MATCH(D96,OFFSET(Results!D$5:D$30,'Leader Board'!A96,0,$A$1),0)+A96,MATCH(ROW()-1,Results!E$5:E$30,0))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IF(ISNA(MATCH(ROW()-1,Results!E$5:E$30,0)),MATCH(D97,OFFSET(Results!D$5:D$30,'Leader Board'!A97,0,$A$1),0)+A97,MATCH(ROW()-1,Results!E$5:E$30,0))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IF(ISNA(MATCH(ROW()-1,Results!E$5:E$30,0)),MATCH(D98,OFFSET(Results!D$5:D$30,'Leader Board'!A98,0,$A$1),0)+A98,MATCH(ROW()-1,Results!E$5:E$30,0))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IF(ISNA(MATCH(ROW()-1,Results!E$5:E$30,0)),MATCH(D99,OFFSET(Results!D$5:D$30,'Leader Board'!A99,0,$A$1),0)+A99,MATCH(ROW()-1,Results!E$5:E$30,0))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0</v>
      </c>
      <c r="D3" s="115">
        <v>51.97</v>
      </c>
      <c r="E3" s="18"/>
      <c r="F3" s="115">
        <v>51.45</v>
      </c>
      <c r="G3" s="18"/>
      <c r="H3" s="115">
        <v>44.67</v>
      </c>
      <c r="I3" s="18"/>
      <c r="J3" s="115">
        <v>46.16</v>
      </c>
      <c r="K3" s="18"/>
      <c r="L3" s="115">
        <v>39.65</v>
      </c>
      <c r="M3" s="18"/>
      <c r="N3" s="115">
        <v>48.18</v>
      </c>
      <c r="O3" s="18"/>
      <c r="P3" s="115">
        <v>49.32</v>
      </c>
      <c r="Q3" s="18"/>
      <c r="R3" s="115">
        <v>58.7</v>
      </c>
      <c r="S3" s="18"/>
      <c r="T3" s="115">
        <v>56.77</v>
      </c>
      <c r="U3" s="18"/>
      <c r="V3" s="115">
        <v>52.78</v>
      </c>
      <c r="W3" s="18"/>
      <c r="X3" s="115">
        <v>44.17</v>
      </c>
      <c r="Y3" s="18"/>
      <c r="Z3" s="115">
        <v>49.98</v>
      </c>
      <c r="AB3" s="115">
        <v>54.89</v>
      </c>
      <c r="AC3" s="18"/>
      <c r="AD3" s="115">
        <v>59.15</v>
      </c>
      <c r="AE3" s="18"/>
      <c r="AF3" s="115">
        <v>54.46</v>
      </c>
      <c r="AG3" s="18">
        <v>0</v>
      </c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11.25">
      <c r="A4" s="16">
        <v>2</v>
      </c>
      <c r="B4" s="17" t="s">
        <v>220</v>
      </c>
      <c r="C4" s="17">
        <v>0</v>
      </c>
      <c r="D4" s="115">
        <v>39.1</v>
      </c>
      <c r="E4" s="18"/>
      <c r="F4" s="115">
        <v>40.36</v>
      </c>
      <c r="G4" s="18"/>
      <c r="H4" s="115">
        <v>49.21</v>
      </c>
      <c r="I4" s="18"/>
      <c r="J4" s="115">
        <v>34.72</v>
      </c>
      <c r="K4" s="18"/>
      <c r="L4" s="115">
        <v>46.45</v>
      </c>
      <c r="M4" s="18"/>
      <c r="N4" s="115">
        <v>50.57</v>
      </c>
      <c r="O4" s="18"/>
      <c r="P4" s="115">
        <v>46.13</v>
      </c>
      <c r="Q4" s="18"/>
      <c r="R4" s="115">
        <v>42.06</v>
      </c>
      <c r="S4" s="18"/>
      <c r="T4" s="115">
        <v>51.8</v>
      </c>
      <c r="U4" s="18"/>
      <c r="V4" s="115">
        <v>40.42</v>
      </c>
      <c r="W4" s="18"/>
      <c r="X4" s="115">
        <v>33.73</v>
      </c>
      <c r="Y4" s="18"/>
      <c r="Z4" s="115">
        <v>54.07</v>
      </c>
      <c r="AB4" s="115">
        <v>45.72</v>
      </c>
      <c r="AC4" s="18"/>
      <c r="AD4" s="115">
        <v>49.85</v>
      </c>
      <c r="AE4" s="18"/>
      <c r="AF4" s="115">
        <v>54.82</v>
      </c>
      <c r="AG4" s="18">
        <v>0</v>
      </c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11.25">
      <c r="A5" s="16">
        <v>3</v>
      </c>
      <c r="B5" s="17" t="s">
        <v>221</v>
      </c>
      <c r="C5" s="17">
        <v>0</v>
      </c>
      <c r="D5" s="115">
        <v>0</v>
      </c>
      <c r="E5" s="18"/>
      <c r="F5" s="115">
        <v>0</v>
      </c>
      <c r="G5" s="18"/>
      <c r="H5" s="115">
        <v>0</v>
      </c>
      <c r="I5" s="18"/>
      <c r="J5" s="115">
        <v>0</v>
      </c>
      <c r="K5" s="18"/>
      <c r="L5" s="115">
        <v>0</v>
      </c>
      <c r="M5" s="18"/>
      <c r="N5" s="115">
        <v>0</v>
      </c>
      <c r="O5" s="18"/>
      <c r="P5" s="115">
        <v>0</v>
      </c>
      <c r="Q5" s="18"/>
      <c r="R5" s="115">
        <v>0</v>
      </c>
      <c r="S5" s="18"/>
      <c r="T5" s="115">
        <v>0</v>
      </c>
      <c r="U5" s="18"/>
      <c r="V5" s="115">
        <v>0</v>
      </c>
      <c r="W5" s="18"/>
      <c r="X5" s="115">
        <v>0</v>
      </c>
      <c r="Y5" s="18"/>
      <c r="Z5" s="115">
        <v>0</v>
      </c>
      <c r="AB5" s="115">
        <v>0</v>
      </c>
      <c r="AC5" s="18"/>
      <c r="AD5" s="115">
        <v>0</v>
      </c>
      <c r="AE5" s="18"/>
      <c r="AF5" s="115">
        <v>0</v>
      </c>
      <c r="AG5" s="18">
        <v>0</v>
      </c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11.25">
      <c r="A6" s="19">
        <v>4</v>
      </c>
      <c r="B6" s="20" t="s">
        <v>222</v>
      </c>
      <c r="C6" s="20">
        <v>0</v>
      </c>
      <c r="D6" s="116">
        <v>42.47</v>
      </c>
      <c r="E6" s="21"/>
      <c r="F6" s="116">
        <v>48.83</v>
      </c>
      <c r="G6" s="21"/>
      <c r="H6" s="116">
        <v>48.74</v>
      </c>
      <c r="I6" s="21"/>
      <c r="J6" s="116">
        <v>52.66</v>
      </c>
      <c r="K6" s="21"/>
      <c r="L6" s="116">
        <v>47.58</v>
      </c>
      <c r="M6" s="21"/>
      <c r="N6" s="116">
        <v>55.82</v>
      </c>
      <c r="O6" s="21"/>
      <c r="P6" s="116">
        <v>64.4</v>
      </c>
      <c r="Q6" s="21"/>
      <c r="R6" s="116">
        <v>55.45</v>
      </c>
      <c r="S6" s="21"/>
      <c r="T6" s="116">
        <v>61.29</v>
      </c>
      <c r="U6" s="21"/>
      <c r="V6" s="116">
        <v>66.93</v>
      </c>
      <c r="W6" s="21"/>
      <c r="X6" s="116">
        <v>71.1</v>
      </c>
      <c r="Y6" s="21"/>
      <c r="Z6" s="116">
        <v>76.87</v>
      </c>
      <c r="AB6" s="116">
        <v>59.82</v>
      </c>
      <c r="AC6" s="21"/>
      <c r="AD6" s="116">
        <v>72.54</v>
      </c>
      <c r="AE6" s="21"/>
      <c r="AF6" s="116">
        <v>52.34</v>
      </c>
      <c r="AG6" s="21">
        <v>0</v>
      </c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11.25">
      <c r="A7" s="19">
        <v>5</v>
      </c>
      <c r="B7" s="20" t="s">
        <v>223</v>
      </c>
      <c r="C7" s="20">
        <v>0</v>
      </c>
      <c r="D7" s="116">
        <v>40.54</v>
      </c>
      <c r="E7" s="21"/>
      <c r="F7" s="116">
        <v>34.37</v>
      </c>
      <c r="G7" s="21"/>
      <c r="H7" s="116">
        <v>35.65</v>
      </c>
      <c r="I7" s="21"/>
      <c r="J7" s="116">
        <v>34.68</v>
      </c>
      <c r="K7" s="21"/>
      <c r="L7" s="116">
        <v>42.29</v>
      </c>
      <c r="M7" s="21"/>
      <c r="N7" s="116">
        <v>37.6</v>
      </c>
      <c r="O7" s="21"/>
      <c r="P7" s="116">
        <v>48.21</v>
      </c>
      <c r="Q7" s="21"/>
      <c r="R7" s="116">
        <v>38.45</v>
      </c>
      <c r="S7" s="21"/>
      <c r="T7" s="116">
        <v>36.84</v>
      </c>
      <c r="U7" s="21"/>
      <c r="V7" s="116">
        <v>35.58</v>
      </c>
      <c r="W7" s="21"/>
      <c r="X7" s="116">
        <v>55.02</v>
      </c>
      <c r="Y7" s="21"/>
      <c r="Z7" s="116">
        <v>49.19</v>
      </c>
      <c r="AB7" s="116">
        <v>49.94</v>
      </c>
      <c r="AC7" s="21"/>
      <c r="AD7" s="116">
        <v>43.79</v>
      </c>
      <c r="AE7" s="21"/>
      <c r="AF7" s="116">
        <v>52.17</v>
      </c>
      <c r="AG7" s="21">
        <v>0</v>
      </c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11.25">
      <c r="A8" s="19">
        <v>6</v>
      </c>
      <c r="B8" s="20" t="s">
        <v>224</v>
      </c>
      <c r="C8" s="20">
        <v>0</v>
      </c>
      <c r="D8" s="116">
        <v>57.97</v>
      </c>
      <c r="E8" s="21"/>
      <c r="F8" s="116">
        <v>54.13</v>
      </c>
      <c r="G8" s="21"/>
      <c r="H8" s="116">
        <v>53.04</v>
      </c>
      <c r="I8" s="21"/>
      <c r="J8" s="116">
        <v>49.73</v>
      </c>
      <c r="K8" s="21"/>
      <c r="L8" s="116">
        <v>54.72</v>
      </c>
      <c r="M8" s="21"/>
      <c r="N8" s="116">
        <v>60.71</v>
      </c>
      <c r="O8" s="21"/>
      <c r="P8" s="116">
        <v>75.71</v>
      </c>
      <c r="Q8" s="21"/>
      <c r="R8" s="116">
        <v>52.11</v>
      </c>
      <c r="S8" s="21"/>
      <c r="T8" s="116">
        <v>64.62</v>
      </c>
      <c r="U8" s="21"/>
      <c r="V8" s="116">
        <v>60.58</v>
      </c>
      <c r="W8" s="21"/>
      <c r="X8" s="116">
        <v>0</v>
      </c>
      <c r="Y8" s="21"/>
      <c r="Z8" s="116">
        <v>0</v>
      </c>
      <c r="AB8" s="116">
        <v>0</v>
      </c>
      <c r="AC8" s="21"/>
      <c r="AD8" s="116">
        <v>0</v>
      </c>
      <c r="AE8" s="21"/>
      <c r="AF8" s="116">
        <v>0</v>
      </c>
      <c r="AG8" s="21">
        <v>100</v>
      </c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11.25">
      <c r="A9" s="16">
        <v>7</v>
      </c>
      <c r="B9" s="17" t="s">
        <v>225</v>
      </c>
      <c r="C9" s="17">
        <v>0</v>
      </c>
      <c r="D9" s="115">
        <v>43.4</v>
      </c>
      <c r="E9" s="18"/>
      <c r="F9" s="115">
        <v>43.78</v>
      </c>
      <c r="G9" s="18"/>
      <c r="H9" s="115">
        <v>45.03</v>
      </c>
      <c r="I9" s="18"/>
      <c r="J9" s="115">
        <v>36.19</v>
      </c>
      <c r="K9" s="18"/>
      <c r="L9" s="115">
        <v>44.16</v>
      </c>
      <c r="M9" s="18"/>
      <c r="N9" s="115">
        <v>41.22</v>
      </c>
      <c r="O9" s="18"/>
      <c r="P9" s="115">
        <v>44.21</v>
      </c>
      <c r="Q9" s="18"/>
      <c r="R9" s="115">
        <v>49.64</v>
      </c>
      <c r="S9" s="18"/>
      <c r="T9" s="115">
        <v>39.94</v>
      </c>
      <c r="U9" s="18"/>
      <c r="V9" s="115">
        <v>40.91</v>
      </c>
      <c r="W9" s="18"/>
      <c r="X9" s="115">
        <v>51.65</v>
      </c>
      <c r="Y9" s="18"/>
      <c r="Z9" s="115">
        <v>59.87</v>
      </c>
      <c r="AB9" s="115">
        <v>45.44</v>
      </c>
      <c r="AC9" s="18"/>
      <c r="AD9" s="115">
        <v>49.77</v>
      </c>
      <c r="AE9" s="18"/>
      <c r="AF9" s="115">
        <v>44</v>
      </c>
      <c r="AG9" s="18">
        <v>0</v>
      </c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11.25">
      <c r="A10" s="16">
        <v>8</v>
      </c>
      <c r="B10" s="17" t="s">
        <v>226</v>
      </c>
      <c r="C10" s="17">
        <v>0</v>
      </c>
      <c r="D10" s="115">
        <v>38.06</v>
      </c>
      <c r="E10" s="18"/>
      <c r="F10" s="115">
        <v>45.6</v>
      </c>
      <c r="G10" s="18"/>
      <c r="H10" s="115">
        <v>45.75</v>
      </c>
      <c r="I10" s="18"/>
      <c r="J10" s="115">
        <v>46.04</v>
      </c>
      <c r="K10" s="18"/>
      <c r="L10" s="115">
        <v>48.07</v>
      </c>
      <c r="M10" s="18"/>
      <c r="N10" s="115">
        <v>35.95</v>
      </c>
      <c r="O10" s="18"/>
      <c r="P10" s="115">
        <v>49.69</v>
      </c>
      <c r="Q10" s="18"/>
      <c r="R10" s="115">
        <v>48.19</v>
      </c>
      <c r="S10" s="18"/>
      <c r="T10" s="115">
        <v>47.91</v>
      </c>
      <c r="U10" s="18"/>
      <c r="V10" s="115">
        <v>39.81</v>
      </c>
      <c r="W10" s="18"/>
      <c r="X10" s="115">
        <v>56.59</v>
      </c>
      <c r="Y10" s="18"/>
      <c r="Z10" s="115">
        <v>63.55</v>
      </c>
      <c r="AB10" s="115">
        <v>53.31</v>
      </c>
      <c r="AC10" s="18"/>
      <c r="AD10" s="115">
        <v>51.36</v>
      </c>
      <c r="AE10" s="18"/>
      <c r="AF10" s="115">
        <v>41.82</v>
      </c>
      <c r="AG10" s="18">
        <v>0</v>
      </c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11.2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41" t="s">
        <v>180</v>
      </c>
      <c r="B102" s="141"/>
      <c r="C102" s="141"/>
      <c r="D102" s="134">
        <f>IF(NumberOfRoundsFlown(Rawdata)&gt;0,MAX(D3:D101),"")</f>
        <v>57.97</v>
      </c>
      <c r="E102" s="135"/>
      <c r="F102" s="134">
        <f>IF(NumberOfRoundsFlown(Rawdata)&gt;1,MAX(F3:F101),"")</f>
        <v>54.13</v>
      </c>
      <c r="G102" s="135"/>
      <c r="H102" s="134">
        <f>IF(NumberOfRoundsFlown(Rawdata)&gt;2,MAX(H3:H101),"")</f>
        <v>53.04</v>
      </c>
      <c r="I102" s="135"/>
      <c r="J102" s="134">
        <f>IF(NumberOfRoundsFlown(Rawdata)&gt;3,MAX(J3:J101),"")</f>
        <v>52.66</v>
      </c>
      <c r="K102" s="135"/>
      <c r="L102" s="134">
        <f>IF(NumberOfRoundsFlown(Rawdata)&gt;4,MAX(L3:L101),"")</f>
        <v>54.72</v>
      </c>
      <c r="M102" s="135"/>
      <c r="N102" s="134">
        <f>IF(NumberOfRoundsFlown(Rawdata)&gt;5,MAX(N3:N101),"")</f>
        <v>60.71</v>
      </c>
      <c r="O102" s="135"/>
      <c r="P102" s="134">
        <f>IF(NumberOfRoundsFlown(Rawdata)&gt;6,MAX(P3:P101),"")</f>
        <v>75.71</v>
      </c>
      <c r="Q102" s="135"/>
      <c r="R102" s="134">
        <f>IF(NumberOfRoundsFlown(Rawdata)&gt;7,MAX(R3:R101),"")</f>
        <v>58.7</v>
      </c>
      <c r="S102" s="135"/>
      <c r="T102" s="134">
        <f>IF(NumberOfRoundsFlown(Rawdata)&gt;8,MAX(T3:T101),"")</f>
        <v>64.62</v>
      </c>
      <c r="U102" s="135"/>
      <c r="V102" s="134">
        <f>IF(NumberOfRoundsFlown(Rawdata)&gt;9,MAX(V3:V101),"")</f>
        <v>66.93</v>
      </c>
      <c r="W102" s="135"/>
      <c r="X102" s="134">
        <f>IF(NumberOfRoundsFlown(Rawdata)&gt;10,MAX(X3:X101),"")</f>
        <v>71.1</v>
      </c>
      <c r="Y102" s="135"/>
      <c r="Z102" s="134">
        <f>IF(NumberOfRoundsFlown(Rawdata)&gt;11,MAX(Z3:Z101),"")</f>
        <v>76.87</v>
      </c>
      <c r="AA102" s="135"/>
      <c r="AB102" s="134">
        <f>IF(NumberOfRoundsFlown(Rawdata)&gt;12,MAX(AB3:AB101),"")</f>
        <v>59.82</v>
      </c>
      <c r="AC102" s="135"/>
      <c r="AD102" s="134">
        <f>IF(NumberOfRoundsFlown(Rawdata)&gt;13,MAX(AD3:AD101),"")</f>
        <v>72.54</v>
      </c>
      <c r="AE102" s="135"/>
      <c r="AF102" s="134">
        <f>IF(NumberOfRoundsFlown(Rawdata)&gt;14,MAX(AF3:AF101),"")</f>
        <v>54.82</v>
      </c>
      <c r="AG102" s="135"/>
      <c r="AH102" s="134">
        <f>IF(NumberOfRoundsFlown(Rawdata)&gt;15,MAX(AH3:AH101),"")</f>
      </c>
      <c r="AI102" s="135"/>
      <c r="AJ102" s="134">
        <f>IF(NumberOfRoundsFlown(Rawdata)&gt;16,MAX(AJ3:AJ101),"")</f>
      </c>
      <c r="AK102" s="135"/>
      <c r="AL102" s="134">
        <f>IF(NumberOfRoundsFlown(Rawdata)&gt;17,MAX(AL3:AL101),"")</f>
      </c>
      <c r="AM102" s="135"/>
      <c r="AN102" s="134">
        <f>IF(NumberOfRoundsFlown(Rawdata)&gt;18,MAX(AN3:AN101),"")</f>
      </c>
      <c r="AO102" s="135"/>
      <c r="AP102" s="134">
        <f>IF(NumberOfRoundsFlown(Rawdata)&gt;19,MAX(AP3:AP101),"")</f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38.06</v>
      </c>
      <c r="E103" s="140"/>
      <c r="F103" s="136">
        <f>IF(NumberOfRoundsFlown(Rawdata)&gt;1,INDEX(FastestTimes,1,2),"")</f>
        <v>34.37</v>
      </c>
      <c r="G103" s="137"/>
      <c r="H103" s="136">
        <f>IF(NumberOfRoundsFlown(Rawdata)&gt;2,INDEX(FastestTimes,1,3),"")</f>
        <v>35.65</v>
      </c>
      <c r="I103" s="137"/>
      <c r="J103" s="136">
        <f>IF(NumberOfRoundsFlown(Rawdata)&gt;3,INDEX(FastestTimes,1,4),"")</f>
        <v>34.68</v>
      </c>
      <c r="K103" s="137"/>
      <c r="L103" s="136">
        <f>IF(NumberOfRoundsFlown(Rawdata)&gt;4,INDEX(FastestTimes,1,5),"")</f>
        <v>39.65</v>
      </c>
      <c r="M103" s="137"/>
      <c r="N103" s="136">
        <f>IF(NumberOfRoundsFlown(Rawdata)&gt;5,INDEX(FastestTimes,1,6),"")</f>
        <v>35.95</v>
      </c>
      <c r="O103" s="137"/>
      <c r="P103" s="136">
        <f>IF(NumberOfRoundsFlown(Rawdata)&gt;6,INDEX(FastestTimes,1,7),"")</f>
        <v>44.21</v>
      </c>
      <c r="Q103" s="137"/>
      <c r="R103" s="136">
        <f>IF(NumberOfRoundsFlown(Rawdata)&gt;7,INDEX(FastestTimes,1,8),"")</f>
        <v>38.45</v>
      </c>
      <c r="S103" s="137"/>
      <c r="T103" s="136">
        <f>IF(NumberOfRoundsFlown(Rawdata)&gt;8,INDEX(FastestTimes,1,9),"")</f>
        <v>36.84</v>
      </c>
      <c r="U103" s="137"/>
      <c r="V103" s="136">
        <f>IF(NumberOfRoundsFlown(Rawdata)&gt;9,INDEX(FastestTimes,1,10),"")</f>
        <v>35.58</v>
      </c>
      <c r="W103" s="137"/>
      <c r="X103" s="136">
        <f>IF(NumberOfRoundsFlown(Rawdata)&gt;10,INDEX(FastestTimes,1,11),"")</f>
        <v>33.73</v>
      </c>
      <c r="Y103" s="137"/>
      <c r="Z103" s="136">
        <f>IF(NumberOfRoundsFlown(Rawdata)&gt;11,INDEX(FastestTimes,1,12),"")</f>
        <v>49.19</v>
      </c>
      <c r="AA103" s="137"/>
      <c r="AB103" s="136">
        <f>IF(NumberOfRoundsFlown(Rawdata)&gt;12,INDEX(FastestTimes,1,13),"")</f>
        <v>45.44</v>
      </c>
      <c r="AC103" s="137"/>
      <c r="AD103" s="136">
        <f>IF(NumberOfRoundsFlown(Rawdata)&gt;13,INDEX(FastestTimes,1,14),"")</f>
        <v>43.79</v>
      </c>
      <c r="AE103" s="137"/>
      <c r="AF103" s="136">
        <f>IF(NumberOfRoundsFlown(Rawdata)&gt;14,INDEX(FastestTimes,1,15),"")</f>
        <v>41.82</v>
      </c>
      <c r="AG103" s="137"/>
      <c r="AH103" s="136">
        <f>IF(NumberOfRoundsFlown(Rawdata)&gt;15,INDEX(FastestTimes,1,16),"")</f>
      </c>
      <c r="AI103" s="137"/>
      <c r="AJ103" s="136">
        <f>IF(NumberOfRoundsFlown(Rawdata)&gt;16,INDEX(FastestTimes,1,17),"")</f>
      </c>
      <c r="AK103" s="137"/>
      <c r="AL103" s="136">
        <f>IF(NumberOfRoundsFlown(Rawdata)&gt;17,INDEX(FastestTimes,1,18),"")</f>
      </c>
      <c r="AM103" s="137"/>
      <c r="AN103" s="136">
        <f>IF(NumberOfRoundsFlown(Rawdata)&gt;18,INDEX(FastestTimes,1,19),"")</f>
      </c>
      <c r="AO103" s="137"/>
      <c r="AP103" s="136">
        <f>IF(NumberOfRoundsFlown(Rawdata)&gt;19,INDEX(FastestTimes,1,20),"")</f>
      </c>
      <c r="AQ103" s="137"/>
    </row>
    <row r="104" spans="1:43" s="36" customFormat="1" ht="11.25">
      <c r="A104" s="139" t="s">
        <v>179</v>
      </c>
      <c r="B104" s="139"/>
      <c r="C104" s="139"/>
      <c r="D104" s="136">
        <f>IF(NumberOfRoundsFlown(Rawdata)&gt;0,SUM(D3:D101)/COUNTIF(D3:D101,"&gt;0"),"")</f>
        <v>44.787142857142854</v>
      </c>
      <c r="E104" s="138"/>
      <c r="F104" s="136">
        <f>IF(NumberOfRoundsFlown(Rawdata)&gt;1,SUM(F3:F101)/COUNTIF(F3:F101,"&gt;0"),"")</f>
        <v>45.50285714285714</v>
      </c>
      <c r="G104" s="138"/>
      <c r="H104" s="136">
        <f>IF(NumberOfRoundsFlown(Rawdata)&gt;2,SUM(H3:H101)/COUNTIF(H3:H101,"&gt;0"),"")</f>
        <v>46.01285714285715</v>
      </c>
      <c r="I104" s="138"/>
      <c r="J104" s="136">
        <f>IF(NumberOfRoundsFlown(Rawdata)&gt;3,SUM(J3:J101)/COUNTIF(J3:J101,"&gt;0"),"")</f>
        <v>42.88285714285714</v>
      </c>
      <c r="K104" s="138"/>
      <c r="L104" s="136">
        <f>IF(NumberOfRoundsFlown(Rawdata)&gt;4,SUM(L3:L101)/COUNTIF(L3:L101,"&gt;0"),"")</f>
        <v>46.13142857142857</v>
      </c>
      <c r="M104" s="138"/>
      <c r="N104" s="136">
        <f>IF(NumberOfRoundsFlown(Rawdata)&gt;5,SUM(N3:N101)/COUNTIF(N3:N101,"&gt;0"),"")</f>
        <v>47.15</v>
      </c>
      <c r="O104" s="138"/>
      <c r="P104" s="136">
        <f>IF(NumberOfRoundsFlown(Rawdata)&gt;6,SUM(P3:P101)/COUNTIF(P3:P101,"&gt;0"),"")</f>
        <v>53.95285714285715</v>
      </c>
      <c r="Q104" s="138"/>
      <c r="R104" s="136">
        <f>IF(NumberOfRoundsFlown(Rawdata)&gt;7,SUM(R3:R101)/COUNTIF(R3:R101,"&gt;0"),"")</f>
        <v>49.228571428571435</v>
      </c>
      <c r="S104" s="138"/>
      <c r="T104" s="136">
        <f>IF(NumberOfRoundsFlown(Rawdata)&gt;8,SUM(T3:T101)/COUNTIF(T3:T101,"&gt;0"),"")</f>
        <v>51.309999999999995</v>
      </c>
      <c r="U104" s="138"/>
      <c r="V104" s="136">
        <f>IF(NumberOfRoundsFlown(Rawdata)&gt;9,SUM(V3:V101)/COUNTIF(V3:V101,"&gt;0"),"")</f>
        <v>48.14428571428571</v>
      </c>
      <c r="W104" s="138"/>
      <c r="X104" s="136">
        <f>IF(NumberOfRoundsFlown(Rawdata)&gt;10,SUM(X3:X101)/COUNTIF(X3:X101,"&gt;0"),"")</f>
        <v>52.04333333333333</v>
      </c>
      <c r="Y104" s="138"/>
      <c r="Z104" s="136">
        <f>IF(NumberOfRoundsFlown(Rawdata)&gt;11,SUM(Z3:Z101)/COUNTIF(Z3:Z101,"&gt;0"),"")</f>
        <v>58.921666666666674</v>
      </c>
      <c r="AA104" s="138"/>
      <c r="AB104" s="136">
        <f>IF(NumberOfRoundsFlown(Rawdata)&gt;12,SUM(AB3:AB101)/COUNTIF(AB3:AB101,"&gt;0"),"")</f>
        <v>51.52</v>
      </c>
      <c r="AC104" s="138"/>
      <c r="AD104" s="136">
        <f>IF(NumberOfRoundsFlown(Rawdata)&gt;13,SUM(AD3:AD101)/COUNTIF(AD3:AD101,"&gt;0"),"")</f>
        <v>54.410000000000004</v>
      </c>
      <c r="AE104" s="138"/>
      <c r="AF104" s="136">
        <f>IF(NumberOfRoundsFlown(Rawdata)&gt;14,SUM(AF3:AF101)/COUNTIF(AF3:AF101,"&gt;0"),"")</f>
        <v>49.935</v>
      </c>
      <c r="AG104" s="138"/>
      <c r="AH104" s="136">
        <f>IF(NumberOfRoundsFlown(Rawdata)&gt;15,SUM(AH3:AH101)/COUNTIF(AH3:AH101,"&gt;0"),"")</f>
      </c>
      <c r="AI104" s="138"/>
      <c r="AJ104" s="136">
        <f>IF(NumberOfRoundsFlown(Rawdata)&gt;16,SUM(AJ3:AJ101)/COUNTIF(AJ3:AJ101,"&gt;0"),"")</f>
      </c>
      <c r="AK104" s="138"/>
      <c r="AL104" s="136">
        <f>IF(NumberOfRoundsFlown(Rawdata)&gt;17,SUM(AL3:AL101)/COUNTIF(AL3:AL101,"&gt;0"),"")</f>
      </c>
      <c r="AM104" s="138"/>
      <c r="AN104" s="136">
        <f>IF(NumberOfRoundsFlown(Rawdata)&gt;18,SUM(AN3:AN101)/COUNTIF(AN3:AN101,"&gt;0"),"")</f>
      </c>
      <c r="AO104" s="138"/>
      <c r="AP104" s="136">
        <f>IF(NumberOfRoundsFlown(Rawdata)&gt;19,SUM(AP3:AP101)/COUNTIF(AP3:AP101,"&gt;0"),"")</f>
      </c>
      <c r="AQ104" s="138"/>
    </row>
  </sheetData>
  <sheetProtection password="BBB3" sheet="1" objects="1" scenarios="1"/>
  <mergeCells count="63">
    <mergeCell ref="J102:K102"/>
    <mergeCell ref="J103:K103"/>
    <mergeCell ref="A102:C102"/>
    <mergeCell ref="A103:C103"/>
    <mergeCell ref="H102:I102"/>
    <mergeCell ref="H103:I103"/>
    <mergeCell ref="A104:C104"/>
    <mergeCell ref="F102:G102"/>
    <mergeCell ref="D102:E102"/>
    <mergeCell ref="D103:E103"/>
    <mergeCell ref="F103:G103"/>
    <mergeCell ref="L104:M104"/>
    <mergeCell ref="D104:E104"/>
    <mergeCell ref="F104:G104"/>
    <mergeCell ref="H104:I104"/>
    <mergeCell ref="J104:K104"/>
    <mergeCell ref="L102:M102"/>
    <mergeCell ref="L103:M103"/>
    <mergeCell ref="N102:O102"/>
    <mergeCell ref="N103:O103"/>
    <mergeCell ref="N104:O104"/>
    <mergeCell ref="P102:Q102"/>
    <mergeCell ref="P103:Q103"/>
    <mergeCell ref="P104:Q104"/>
    <mergeCell ref="R102:S102"/>
    <mergeCell ref="R103:S103"/>
    <mergeCell ref="R104:S104"/>
    <mergeCell ref="T102:U102"/>
    <mergeCell ref="T103:U103"/>
    <mergeCell ref="T104:U104"/>
    <mergeCell ref="V102:W102"/>
    <mergeCell ref="V103:W103"/>
    <mergeCell ref="V104:W104"/>
    <mergeCell ref="X102:Y102"/>
    <mergeCell ref="X103:Y103"/>
    <mergeCell ref="X104:Y104"/>
    <mergeCell ref="Z102:AA102"/>
    <mergeCell ref="Z103:AA103"/>
    <mergeCell ref="Z104:AA104"/>
    <mergeCell ref="AB102:AC102"/>
    <mergeCell ref="AB103:AC103"/>
    <mergeCell ref="AB104:AC104"/>
    <mergeCell ref="AD102:AE102"/>
    <mergeCell ref="AD103:AE103"/>
    <mergeCell ref="AD104:AE104"/>
    <mergeCell ref="AF102:AG102"/>
    <mergeCell ref="AF103:AG103"/>
    <mergeCell ref="AF104:AG104"/>
    <mergeCell ref="AH102:AI102"/>
    <mergeCell ref="AH103:AI103"/>
    <mergeCell ref="AH104:AI104"/>
    <mergeCell ref="AJ102:AK102"/>
    <mergeCell ref="AJ103:AK103"/>
    <mergeCell ref="AJ104:AK104"/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9.57421875" style="0" customWidth="1"/>
    <col min="3" max="5" width="9.57421875" style="0" bestFit="1" customWidth="1"/>
    <col min="6" max="6" width="10.57421875" style="0" bestFit="1" customWidth="1"/>
  </cols>
  <sheetData>
    <row r="1" spans="1:42" ht="12.75">
      <c r="A1" s="95"/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1:42" ht="12.75">
      <c r="A2" s="95"/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1:42" ht="12.75">
      <c r="A3" s="95"/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1:42" ht="12.75">
      <c r="A4" s="95"/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1:42" ht="12.75">
      <c r="A5" s="95"/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1:42" ht="12.75">
      <c r="A6" s="95"/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1:42" ht="12.75">
      <c r="A7" s="95"/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1:42" ht="12.75">
      <c r="A8" s="95"/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1:42" ht="12.75">
      <c r="A9" s="95"/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1:42" ht="12.75">
      <c r="A10" s="95"/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1:42" ht="12.75">
      <c r="A11" s="95"/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1:42" ht="12.75">
      <c r="A12" s="95"/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1:42" ht="12.75">
      <c r="A13" s="95"/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1:42" ht="12.75">
      <c r="A14" s="95"/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1:42" ht="12.75">
      <c r="A15" s="95"/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1:42" ht="12.75">
      <c r="A16" s="95"/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1:42" ht="12.75">
      <c r="A17" s="95"/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1:42" ht="12.75">
      <c r="A18" s="95"/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1:42" ht="12.75">
      <c r="A19" s="95"/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1:42" ht="12.75">
      <c r="A20" s="95"/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1:42" ht="12.75">
      <c r="A21" s="95"/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1:42" ht="12.75">
      <c r="A22" s="95"/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1:42" ht="12.75">
      <c r="A23" s="95"/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1:42" ht="12.75">
      <c r="A24" s="95"/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1:42" ht="12.75">
      <c r="A25" s="95"/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1:42" ht="12.75">
      <c r="A26" s="95"/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1:42" ht="12.75">
      <c r="A27" s="95"/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1:42" ht="12.75">
      <c r="A28" s="95"/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1:42" ht="12.75">
      <c r="A29" s="95"/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1:42" ht="12.75">
      <c r="A30" s="95"/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1:42" ht="12.75">
      <c r="A31" s="95"/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1:42" ht="12.75">
      <c r="A32" s="95"/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1:42" ht="12.75">
      <c r="A33" s="95"/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1:42" ht="12.75">
      <c r="A34" s="95"/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1:42" ht="12.75">
      <c r="A35" s="95"/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1:42" ht="12.75">
      <c r="A36" s="95"/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1:42" ht="12.75">
      <c r="A37" s="95"/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1:42" ht="12.75">
      <c r="A38" s="95"/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1:42" ht="12.75">
      <c r="A39" s="95"/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1:42" ht="12.75">
      <c r="A40" s="95"/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1:42" ht="12.75">
      <c r="A41" s="95"/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1:42" ht="12.75">
      <c r="A42" s="95"/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1:42" ht="12.75">
      <c r="A43" s="95"/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1:42" ht="12.75">
      <c r="A44" s="95"/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1:42" ht="12.75">
      <c r="A45" s="95"/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1:42" ht="12.75">
      <c r="A46" s="95"/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1:42" ht="12.75">
      <c r="A47" s="95"/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1:42" ht="12.75">
      <c r="A48" s="95"/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1:42" ht="12.75">
      <c r="A49" s="95"/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1:42" ht="12.75">
      <c r="A50" s="95"/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1:42" ht="12.75">
      <c r="A51" s="95"/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1:42" ht="12.75">
      <c r="A52" s="95"/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1:42" ht="12.75">
      <c r="A53" s="95"/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1:42" ht="12.75">
      <c r="A54" s="95"/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1:42" ht="12.75">
      <c r="A55" s="95"/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1:42" ht="12.75">
      <c r="A56" s="95"/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1:42" ht="12.75">
      <c r="A57" s="95"/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1:42" ht="12.75">
      <c r="A58" s="95"/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1:42" ht="12.75">
      <c r="A59" s="95"/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1:42" ht="12.75">
      <c r="A60" s="95"/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1:42" ht="12.75">
      <c r="A61" s="95"/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1:42" ht="12.75">
      <c r="A62" s="95"/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1:42" ht="12.75">
      <c r="A63" s="95"/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1:42" ht="12.75">
      <c r="A64" s="95"/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1:42" ht="12.75">
      <c r="A65" s="95"/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1:42" ht="12.75">
      <c r="A66" s="95"/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1:42" ht="12.75">
      <c r="A67" s="95"/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1:42" ht="12.75">
      <c r="A68" s="95"/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1:42" ht="12.75">
      <c r="A69" s="95"/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1:42" ht="12.75">
      <c r="A70" s="95"/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1:42" ht="12.75">
      <c r="A71" s="95"/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1:42" ht="12.75">
      <c r="A72" s="95"/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1:42" ht="12.75">
      <c r="A73" s="95"/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1:42" ht="12.75">
      <c r="A74" s="95"/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1:42" ht="12.75">
      <c r="A75" s="95"/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1:42" ht="12.75">
      <c r="A76" s="95"/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1:42" ht="12.75">
      <c r="A77" s="95"/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1:42" ht="12.75">
      <c r="A78" s="95"/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1:42" ht="12.75">
      <c r="A79" s="95"/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1:42" ht="12.75">
      <c r="A80" s="95"/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1:42" ht="12.75">
      <c r="A81" s="95"/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1:42" ht="12.75">
      <c r="A82" s="95"/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1:42" ht="12.75">
      <c r="A83" s="95"/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1:42" ht="12.75">
      <c r="A84" s="95"/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1:42" ht="12.75">
      <c r="A85" s="95"/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1:42" ht="12.75">
      <c r="A86" s="95"/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1:42" ht="12.75">
      <c r="A87" s="95"/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1:42" ht="12.75">
      <c r="A88" s="95"/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1:42" ht="12.75">
      <c r="A89" s="95"/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1:42" ht="12.75">
      <c r="A90" s="95"/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1:42" ht="12.75">
      <c r="A91" s="95"/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1:42" ht="12.75">
      <c r="A92" s="95"/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1:42" ht="12.75">
      <c r="A93" s="95"/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1:42" ht="12.75">
      <c r="A94" s="95"/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1:42" ht="12.75">
      <c r="A95" s="95"/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1:42" ht="12.75">
      <c r="A96" s="95"/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1:42" ht="12.75">
      <c r="A97" s="95"/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1:42" ht="12.75">
      <c r="A98" s="95"/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1:42" ht="12.75">
      <c r="A99" s="95"/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2016-02-21T10:21:43Z</dcterms:modified>
  <cp:category/>
  <cp:version/>
  <cp:contentType/>
  <cp:contentStatus/>
</cp:coreProperties>
</file>